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3216F64A-DC01-4DB9-8FB8-218CCF9D8D4B}" xr6:coauthVersionLast="45" xr6:coauthVersionMax="45" xr10:uidLastSave="{00000000-0000-0000-0000-000000000000}"/>
  <bookViews>
    <workbookView xWindow="225" yWindow="375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D365" i="1"/>
  <c r="F365" i="1"/>
  <c r="E365" i="1"/>
  <c r="D18" i="1"/>
  <c r="E44" i="1"/>
  <c r="G44" i="1"/>
  <c r="G400" i="1" l="1"/>
  <c r="E125" i="1"/>
  <c r="E103" i="1"/>
  <c r="E352" i="1"/>
  <c r="F250" i="1"/>
  <c r="G384" i="1"/>
  <c r="D121" i="1"/>
  <c r="D128" i="1"/>
  <c r="D92" i="1"/>
  <c r="G93" i="1"/>
  <c r="E223" i="1" l="1"/>
  <c r="F223" i="1"/>
  <c r="E181" i="1"/>
  <c r="F206" i="1"/>
  <c r="E424" i="1" l="1"/>
  <c r="F186" i="1"/>
  <c r="F181" i="1"/>
  <c r="G402" i="1" l="1"/>
  <c r="D46" i="1"/>
  <c r="G41" i="1"/>
  <c r="F212" i="1"/>
  <c r="F260" i="1"/>
  <c r="F224" i="1"/>
  <c r="F196" i="1"/>
  <c r="F191" i="1"/>
  <c r="F192" i="1"/>
  <c r="E182" i="1"/>
  <c r="F182" i="1"/>
  <c r="E218" i="1"/>
  <c r="F218" i="1"/>
  <c r="E107" i="1"/>
  <c r="E98" i="1"/>
  <c r="E91" i="1"/>
  <c r="E32" i="1"/>
  <c r="G32" i="1"/>
  <c r="G61" i="1"/>
  <c r="E56" i="1"/>
  <c r="F56" i="1"/>
  <c r="E196" i="1"/>
  <c r="E211" i="1"/>
  <c r="E156" i="1"/>
  <c r="E166" i="1"/>
  <c r="E31" i="1"/>
  <c r="E384" i="1" s="1"/>
  <c r="F31" i="1"/>
  <c r="G23" i="1"/>
  <c r="G16" i="1"/>
  <c r="G364" i="1" s="1"/>
  <c r="E43" i="1"/>
  <c r="G391" i="1"/>
  <c r="E16" i="1"/>
  <c r="G36" i="1"/>
  <c r="E225" i="1"/>
  <c r="E198" i="1"/>
  <c r="E183" i="1"/>
  <c r="E41" i="1"/>
  <c r="D411" i="1"/>
  <c r="E411" i="1"/>
  <c r="D359" i="1"/>
  <c r="F378" i="1"/>
  <c r="D235" i="1"/>
  <c r="D219" i="1"/>
  <c r="D168" i="1"/>
  <c r="E140" i="1"/>
  <c r="E378" i="1" s="1"/>
  <c r="E177" i="1"/>
  <c r="D213" i="1"/>
  <c r="D151" i="1"/>
  <c r="D140" i="1"/>
  <c r="D177" i="1"/>
  <c r="E379" i="1"/>
  <c r="D379" i="1" s="1"/>
  <c r="D29" i="1"/>
  <c r="E403" i="1" l="1"/>
  <c r="F403" i="1"/>
  <c r="G376" i="1"/>
  <c r="D176" i="1" l="1"/>
  <c r="D47" i="1"/>
  <c r="D28" i="1"/>
  <c r="D403" i="1" l="1"/>
  <c r="D347" i="1"/>
  <c r="G385" i="1" l="1"/>
  <c r="D385" i="1" s="1"/>
  <c r="D34" i="1"/>
  <c r="E368" i="1" l="1"/>
  <c r="D368" i="1" s="1"/>
  <c r="F368" i="1"/>
  <c r="D20" i="1"/>
  <c r="F373" i="1" l="1"/>
  <c r="G416" i="1" l="1"/>
  <c r="G133" i="1" l="1"/>
  <c r="E391" i="1" l="1"/>
  <c r="F391" i="1"/>
  <c r="G147" i="1"/>
  <c r="D153" i="1"/>
  <c r="G371" i="1"/>
  <c r="E396" i="1" l="1"/>
  <c r="G396" i="1"/>
  <c r="D41" i="1"/>
  <c r="D396" i="1" l="1"/>
  <c r="G423" i="1"/>
  <c r="D423" i="1" s="1"/>
  <c r="E422" i="1"/>
  <c r="F422" i="1"/>
  <c r="G422" i="1"/>
  <c r="E421" i="1"/>
  <c r="G421" i="1"/>
  <c r="G419" i="1"/>
  <c r="D419" i="1" s="1"/>
  <c r="E418" i="1"/>
  <c r="D418" i="1"/>
  <c r="E417" i="1"/>
  <c r="F417" i="1"/>
  <c r="F414" i="1" s="1"/>
  <c r="F399" i="1"/>
  <c r="G399" i="1"/>
  <c r="E401" i="1"/>
  <c r="F401" i="1"/>
  <c r="G401" i="1"/>
  <c r="G393" i="1"/>
  <c r="D393" i="1" s="1"/>
  <c r="E392" i="1"/>
  <c r="G392" i="1"/>
  <c r="E164" i="1"/>
  <c r="F164" i="1"/>
  <c r="G164" i="1"/>
  <c r="D170" i="1"/>
  <c r="F384" i="1"/>
  <c r="E273" i="1"/>
  <c r="F273" i="1"/>
  <c r="G273" i="1"/>
  <c r="D276" i="1"/>
  <c r="G383" i="1"/>
  <c r="E382" i="1"/>
  <c r="F382" i="1"/>
  <c r="G382" i="1"/>
  <c r="D392" i="1" l="1"/>
  <c r="D295" i="1" l="1"/>
  <c r="E373" i="1" l="1"/>
  <c r="E372" i="1"/>
  <c r="F372" i="1"/>
  <c r="G372" i="1"/>
  <c r="E369" i="1"/>
  <c r="E364" i="1"/>
  <c r="D364" i="1" s="1"/>
  <c r="F364" i="1"/>
  <c r="F369" i="1"/>
  <c r="G366" i="1" l="1"/>
  <c r="E367" i="1"/>
  <c r="E243" i="1"/>
  <c r="F243" i="1"/>
  <c r="G243" i="1"/>
  <c r="D244" i="1"/>
  <c r="D173" i="1"/>
  <c r="E350" i="1" l="1"/>
  <c r="F350" i="1"/>
  <c r="G350" i="1"/>
  <c r="D351" i="1" l="1"/>
  <c r="E301" i="1"/>
  <c r="F301" i="1"/>
  <c r="G301" i="1"/>
  <c r="D303" i="1"/>
  <c r="D304" i="1"/>
  <c r="E297" i="1"/>
  <c r="F297" i="1"/>
  <c r="G297" i="1"/>
  <c r="D298" i="1"/>
  <c r="E290" i="1"/>
  <c r="F290" i="1"/>
  <c r="G290" i="1"/>
  <c r="D294" i="1"/>
  <c r="D296" i="1"/>
  <c r="D131" i="1"/>
  <c r="D124" i="1"/>
  <c r="D112" i="1"/>
  <c r="D106" i="1"/>
  <c r="D95" i="1"/>
  <c r="D88" i="1"/>
  <c r="D82" i="1"/>
  <c r="D57" i="1"/>
  <c r="D58" i="1"/>
  <c r="D59" i="1"/>
  <c r="D37" i="1"/>
  <c r="D21" i="1" l="1"/>
  <c r="D366" i="1" s="1"/>
  <c r="E13" i="1" l="1"/>
  <c r="F13" i="1"/>
  <c r="G13" i="1"/>
  <c r="D14" i="1"/>
  <c r="E15" i="1"/>
  <c r="F15" i="1"/>
  <c r="G15" i="1"/>
  <c r="D16" i="1"/>
  <c r="D17" i="1"/>
  <c r="D19" i="1"/>
  <c r="D22" i="1"/>
  <c r="D23" i="1"/>
  <c r="D24" i="1"/>
  <c r="D25" i="1"/>
  <c r="D26" i="1"/>
  <c r="D27" i="1"/>
  <c r="D30" i="1"/>
  <c r="D31" i="1"/>
  <c r="D32" i="1"/>
  <c r="D33" i="1"/>
  <c r="D35" i="1"/>
  <c r="D36" i="1"/>
  <c r="D38" i="1"/>
  <c r="D39" i="1"/>
  <c r="D40" i="1"/>
  <c r="D42" i="1"/>
  <c r="D43" i="1"/>
  <c r="D44" i="1"/>
  <c r="D45" i="1"/>
  <c r="D48" i="1"/>
  <c r="D49" i="1"/>
  <c r="D50" i="1"/>
  <c r="D51" i="1"/>
  <c r="D52" i="1"/>
  <c r="D53" i="1"/>
  <c r="D54" i="1"/>
  <c r="D55" i="1"/>
  <c r="D56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7" i="1"/>
  <c r="E78" i="1"/>
  <c r="F78" i="1"/>
  <c r="G78" i="1"/>
  <c r="D79" i="1"/>
  <c r="D80" i="1"/>
  <c r="D81" i="1"/>
  <c r="D83" i="1"/>
  <c r="E84" i="1"/>
  <c r="F84" i="1"/>
  <c r="G84" i="1"/>
  <c r="D85" i="1"/>
  <c r="D86" i="1"/>
  <c r="D87" i="1"/>
  <c r="D89" i="1"/>
  <c r="E90" i="1"/>
  <c r="F90" i="1"/>
  <c r="G90" i="1"/>
  <c r="D91" i="1"/>
  <c r="D93" i="1"/>
  <c r="D94" i="1"/>
  <c r="D96" i="1"/>
  <c r="E97" i="1"/>
  <c r="F97" i="1"/>
  <c r="G97" i="1"/>
  <c r="D98" i="1"/>
  <c r="D99" i="1"/>
  <c r="D100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3" i="1"/>
  <c r="E114" i="1"/>
  <c r="F114" i="1"/>
  <c r="G114" i="1"/>
  <c r="D115" i="1"/>
  <c r="D116" i="1"/>
  <c r="D117" i="1"/>
  <c r="D118" i="1"/>
  <c r="E119" i="1"/>
  <c r="F119" i="1"/>
  <c r="G119" i="1"/>
  <c r="D120" i="1"/>
  <c r="D122" i="1"/>
  <c r="D123" i="1"/>
  <c r="D125" i="1"/>
  <c r="E126" i="1"/>
  <c r="F126" i="1"/>
  <c r="G126" i="1"/>
  <c r="D127" i="1"/>
  <c r="D129" i="1"/>
  <c r="D130" i="1"/>
  <c r="D132" i="1"/>
  <c r="E133" i="1"/>
  <c r="F133" i="1"/>
  <c r="D134" i="1"/>
  <c r="D135" i="1"/>
  <c r="E136" i="1"/>
  <c r="F136" i="1"/>
  <c r="G136" i="1"/>
  <c r="D137" i="1"/>
  <c r="D138" i="1"/>
  <c r="D139" i="1"/>
  <c r="D141" i="1"/>
  <c r="E142" i="1"/>
  <c r="F142" i="1"/>
  <c r="G142" i="1"/>
  <c r="D143" i="1"/>
  <c r="D144" i="1"/>
  <c r="D145" i="1"/>
  <c r="D146" i="1"/>
  <c r="E147" i="1"/>
  <c r="F147" i="1"/>
  <c r="D148" i="1"/>
  <c r="D149" i="1"/>
  <c r="D150" i="1"/>
  <c r="D152" i="1"/>
  <c r="E154" i="1"/>
  <c r="F154" i="1"/>
  <c r="G154" i="1"/>
  <c r="D155" i="1"/>
  <c r="D156" i="1"/>
  <c r="D157" i="1"/>
  <c r="D158" i="1"/>
  <c r="E159" i="1"/>
  <c r="F159" i="1"/>
  <c r="G159" i="1"/>
  <c r="D160" i="1"/>
  <c r="D161" i="1"/>
  <c r="D162" i="1"/>
  <c r="D163" i="1"/>
  <c r="D165" i="1"/>
  <c r="D166" i="1"/>
  <c r="D167" i="1"/>
  <c r="D169" i="1"/>
  <c r="E171" i="1"/>
  <c r="F171" i="1"/>
  <c r="G171" i="1"/>
  <c r="D172" i="1"/>
  <c r="D174" i="1"/>
  <c r="D175" i="1"/>
  <c r="D178" i="1"/>
  <c r="E179" i="1"/>
  <c r="F179" i="1"/>
  <c r="G179" i="1"/>
  <c r="D180" i="1"/>
  <c r="D181" i="1"/>
  <c r="D182" i="1"/>
  <c r="D183" i="1"/>
  <c r="E184" i="1"/>
  <c r="F184" i="1"/>
  <c r="G184" i="1"/>
  <c r="D185" i="1"/>
  <c r="D186" i="1"/>
  <c r="D187" i="1"/>
  <c r="D188" i="1"/>
  <c r="E189" i="1"/>
  <c r="F189" i="1"/>
  <c r="G189" i="1"/>
  <c r="D190" i="1"/>
  <c r="D191" i="1"/>
  <c r="D192" i="1"/>
  <c r="D193" i="1"/>
  <c r="E194" i="1"/>
  <c r="F194" i="1"/>
  <c r="G194" i="1"/>
  <c r="D195" i="1"/>
  <c r="D196" i="1"/>
  <c r="D197" i="1"/>
  <c r="D198" i="1"/>
  <c r="E199" i="1"/>
  <c r="F199" i="1"/>
  <c r="G199" i="1"/>
  <c r="D200" i="1"/>
  <c r="D201" i="1"/>
  <c r="D202" i="1"/>
  <c r="D203" i="1"/>
  <c r="E204" i="1"/>
  <c r="F204" i="1"/>
  <c r="G204" i="1"/>
  <c r="D205" i="1"/>
  <c r="D206" i="1"/>
  <c r="D207" i="1"/>
  <c r="D208" i="1"/>
  <c r="E209" i="1"/>
  <c r="F209" i="1"/>
  <c r="G209" i="1"/>
  <c r="D210" i="1"/>
  <c r="D211" i="1"/>
  <c r="D212" i="1"/>
  <c r="D214" i="1"/>
  <c r="E215" i="1"/>
  <c r="F215" i="1"/>
  <c r="G215" i="1"/>
  <c r="D216" i="1"/>
  <c r="D217" i="1"/>
  <c r="D218" i="1"/>
  <c r="D220" i="1"/>
  <c r="E221" i="1"/>
  <c r="F221" i="1"/>
  <c r="G221" i="1"/>
  <c r="D222" i="1"/>
  <c r="D223" i="1"/>
  <c r="D224" i="1"/>
  <c r="D225" i="1"/>
  <c r="E226" i="1"/>
  <c r="F226" i="1"/>
  <c r="G226" i="1"/>
  <c r="D227" i="1"/>
  <c r="D228" i="1"/>
  <c r="D229" i="1"/>
  <c r="D230" i="1"/>
  <c r="E231" i="1"/>
  <c r="F231" i="1"/>
  <c r="G231" i="1"/>
  <c r="D232" i="1"/>
  <c r="D233" i="1"/>
  <c r="D234" i="1"/>
  <c r="D236" i="1"/>
  <c r="E237" i="1"/>
  <c r="F237" i="1"/>
  <c r="G237" i="1"/>
  <c r="D238" i="1"/>
  <c r="D239" i="1"/>
  <c r="D240" i="1"/>
  <c r="D241" i="1"/>
  <c r="D242" i="1"/>
  <c r="D245" i="1"/>
  <c r="D246" i="1"/>
  <c r="D247" i="1"/>
  <c r="E248" i="1"/>
  <c r="F248" i="1"/>
  <c r="G248" i="1"/>
  <c r="D249" i="1"/>
  <c r="D250" i="1"/>
  <c r="D251" i="1"/>
  <c r="D252" i="1"/>
  <c r="E253" i="1"/>
  <c r="F253" i="1"/>
  <c r="G253" i="1"/>
  <c r="D254" i="1"/>
  <c r="D255" i="1"/>
  <c r="D256" i="1"/>
  <c r="D257" i="1"/>
  <c r="E258" i="1"/>
  <c r="F258" i="1"/>
  <c r="G258" i="1"/>
  <c r="D259" i="1"/>
  <c r="D260" i="1"/>
  <c r="D261" i="1"/>
  <c r="D262" i="1"/>
  <c r="E263" i="1"/>
  <c r="F263" i="1"/>
  <c r="G263" i="1"/>
  <c r="D264" i="1"/>
  <c r="D265" i="1"/>
  <c r="D266" i="1"/>
  <c r="D267" i="1"/>
  <c r="E268" i="1"/>
  <c r="F268" i="1"/>
  <c r="G268" i="1"/>
  <c r="D269" i="1"/>
  <c r="D270" i="1"/>
  <c r="D271" i="1"/>
  <c r="D272" i="1"/>
  <c r="D274" i="1"/>
  <c r="D275" i="1"/>
  <c r="E277" i="1"/>
  <c r="F277" i="1"/>
  <c r="G277" i="1"/>
  <c r="D278" i="1"/>
  <c r="D279" i="1"/>
  <c r="E280" i="1"/>
  <c r="F280" i="1"/>
  <c r="G280" i="1"/>
  <c r="D281" i="1"/>
  <c r="D282" i="1"/>
  <c r="D283" i="1"/>
  <c r="D284" i="1"/>
  <c r="D285" i="1"/>
  <c r="E286" i="1"/>
  <c r="F286" i="1"/>
  <c r="G286" i="1"/>
  <c r="D287" i="1"/>
  <c r="D288" i="1"/>
  <c r="D289" i="1"/>
  <c r="D291" i="1"/>
  <c r="D292" i="1"/>
  <c r="D293" i="1"/>
  <c r="D297" i="1"/>
  <c r="D299" i="1"/>
  <c r="D300" i="1"/>
  <c r="D301" i="1"/>
  <c r="D302" i="1"/>
  <c r="D305" i="1"/>
  <c r="D306" i="1"/>
  <c r="E307" i="1"/>
  <c r="F307" i="1"/>
  <c r="G307" i="1"/>
  <c r="D308" i="1"/>
  <c r="D309" i="1"/>
  <c r="D310" i="1"/>
  <c r="E311" i="1"/>
  <c r="F311" i="1"/>
  <c r="G311" i="1"/>
  <c r="D312" i="1"/>
  <c r="D313" i="1"/>
  <c r="D314" i="1"/>
  <c r="E315" i="1"/>
  <c r="F315" i="1"/>
  <c r="G315" i="1"/>
  <c r="D316" i="1"/>
  <c r="D317" i="1"/>
  <c r="D318" i="1"/>
  <c r="E319" i="1"/>
  <c r="F319" i="1"/>
  <c r="G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E330" i="1"/>
  <c r="F330" i="1"/>
  <c r="G330" i="1"/>
  <c r="D331" i="1"/>
  <c r="D332" i="1"/>
  <c r="D333" i="1"/>
  <c r="E334" i="1"/>
  <c r="F334" i="1"/>
  <c r="G334" i="1"/>
  <c r="D335" i="1"/>
  <c r="D336" i="1"/>
  <c r="D337" i="1"/>
  <c r="E338" i="1"/>
  <c r="F338" i="1"/>
  <c r="G338" i="1"/>
  <c r="D339" i="1"/>
  <c r="D340" i="1"/>
  <c r="D341" i="1"/>
  <c r="E342" i="1"/>
  <c r="F342" i="1"/>
  <c r="G342" i="1"/>
  <c r="D343" i="1"/>
  <c r="D344" i="1"/>
  <c r="D345" i="1"/>
  <c r="D346" i="1"/>
  <c r="D348" i="1"/>
  <c r="D349" i="1"/>
  <c r="D352" i="1"/>
  <c r="D353" i="1"/>
  <c r="E354" i="1"/>
  <c r="F354" i="1"/>
  <c r="G354" i="1"/>
  <c r="D355" i="1"/>
  <c r="D356" i="1"/>
  <c r="D357" i="1"/>
  <c r="D358" i="1"/>
  <c r="D360" i="1"/>
  <c r="E363" i="1"/>
  <c r="G363" i="1"/>
  <c r="D367" i="1"/>
  <c r="D369" i="1"/>
  <c r="E371" i="1"/>
  <c r="F371" i="1"/>
  <c r="D373" i="1"/>
  <c r="G374" i="1"/>
  <c r="D374" i="1" s="1"/>
  <c r="E375" i="1"/>
  <c r="D375" i="1" s="1"/>
  <c r="F375" i="1"/>
  <c r="D376" i="1"/>
  <c r="G377" i="1"/>
  <c r="D378" i="1"/>
  <c r="E380" i="1"/>
  <c r="G380" i="1"/>
  <c r="G386" i="1"/>
  <c r="E387" i="1"/>
  <c r="G387" i="1"/>
  <c r="G389" i="1"/>
  <c r="D389" i="1" s="1"/>
  <c r="G390" i="1"/>
  <c r="D390" i="1" s="1"/>
  <c r="F388" i="1"/>
  <c r="E394" i="1"/>
  <c r="D394" i="1" s="1"/>
  <c r="G395" i="1"/>
  <c r="D395" i="1" s="1"/>
  <c r="E397" i="1"/>
  <c r="D397" i="1" s="1"/>
  <c r="E399" i="1"/>
  <c r="D399" i="1" s="1"/>
  <c r="E400" i="1"/>
  <c r="F400" i="1"/>
  <c r="E402" i="1"/>
  <c r="E404" i="1"/>
  <c r="D404" i="1" s="1"/>
  <c r="F404" i="1"/>
  <c r="E405" i="1"/>
  <c r="D405" i="1" s="1"/>
  <c r="F405" i="1"/>
  <c r="E407" i="1"/>
  <c r="E408" i="1"/>
  <c r="D408" i="1" s="1"/>
  <c r="E409" i="1"/>
  <c r="F409" i="1"/>
  <c r="E410" i="1"/>
  <c r="E412" i="1"/>
  <c r="D412" i="1" s="1"/>
  <c r="F412" i="1"/>
  <c r="E413" i="1"/>
  <c r="D413" i="1" s="1"/>
  <c r="E415" i="1"/>
  <c r="G415" i="1"/>
  <c r="E416" i="1"/>
  <c r="G417" i="1"/>
  <c r="D417" i="1" s="1"/>
  <c r="F420" i="1"/>
  <c r="G424" i="1"/>
  <c r="D424" i="1" s="1"/>
  <c r="E425" i="1"/>
  <c r="D425" i="1" s="1"/>
  <c r="E406" i="1" l="1"/>
  <c r="E370" i="1"/>
  <c r="D386" i="1"/>
  <c r="G381" i="1"/>
  <c r="E414" i="1"/>
  <c r="G414" i="1"/>
  <c r="D179" i="1"/>
  <c r="D372" i="1"/>
  <c r="D319" i="1"/>
  <c r="D307" i="1"/>
  <c r="D286" i="1"/>
  <c r="D268" i="1"/>
  <c r="D248" i="1"/>
  <c r="D243" i="1"/>
  <c r="D237" i="1"/>
  <c r="D371" i="1"/>
  <c r="D171" i="1"/>
  <c r="D159" i="1"/>
  <c r="D147" i="1"/>
  <c r="D97" i="1"/>
  <c r="D73" i="1"/>
  <c r="D154" i="1"/>
  <c r="D338" i="1"/>
  <c r="D330" i="1"/>
  <c r="D322" i="1"/>
  <c r="D387" i="1"/>
  <c r="D102" i="1"/>
  <c r="D263" i="1"/>
  <c r="D209" i="1"/>
  <c r="D136" i="1"/>
  <c r="D277" i="1"/>
  <c r="D273" i="1"/>
  <c r="D258" i="1"/>
  <c r="D253" i="1"/>
  <c r="D231" i="1"/>
  <c r="D204" i="1"/>
  <c r="D194" i="1"/>
  <c r="D189" i="1"/>
  <c r="D184" i="1"/>
  <c r="D380" i="1"/>
  <c r="D407" i="1"/>
  <c r="D350" i="1"/>
  <c r="D402" i="1"/>
  <c r="D342" i="1"/>
  <c r="D326" i="1"/>
  <c r="D126" i="1"/>
  <c r="D119" i="1"/>
  <c r="D78" i="1"/>
  <c r="D391" i="1"/>
  <c r="E362" i="1"/>
  <c r="D416" i="1"/>
  <c r="D410" i="1"/>
  <c r="F406" i="1"/>
  <c r="D383" i="1"/>
  <c r="D382" i="1"/>
  <c r="F398" i="1"/>
  <c r="D400" i="1"/>
  <c r="D401" i="1"/>
  <c r="D384" i="1"/>
  <c r="D15" i="1"/>
  <c r="F362" i="1"/>
  <c r="D422" i="1"/>
  <c r="E420" i="1"/>
  <c r="D409" i="1"/>
  <c r="F381" i="1"/>
  <c r="D354" i="1"/>
  <c r="D334" i="1"/>
  <c r="D221" i="1"/>
  <c r="D215" i="1"/>
  <c r="D199" i="1"/>
  <c r="D164" i="1"/>
  <c r="D108" i="1"/>
  <c r="D84" i="1"/>
  <c r="D63" i="1"/>
  <c r="E388" i="1"/>
  <c r="E381" i="1"/>
  <c r="F370" i="1"/>
  <c r="D315" i="1"/>
  <c r="D311" i="1"/>
  <c r="D290" i="1"/>
  <c r="D280" i="1"/>
  <c r="D226" i="1"/>
  <c r="D142" i="1"/>
  <c r="D133" i="1"/>
  <c r="D114" i="1"/>
  <c r="D90" i="1"/>
  <c r="D68" i="1"/>
  <c r="D13" i="1"/>
  <c r="G420" i="1"/>
  <c r="D421" i="1"/>
  <c r="D415" i="1"/>
  <c r="G406" i="1"/>
  <c r="D406" i="1" s="1"/>
  <c r="E398" i="1"/>
  <c r="G388" i="1"/>
  <c r="G398" i="1"/>
  <c r="D377" i="1"/>
  <c r="G370" i="1"/>
  <c r="D370" i="1" s="1"/>
  <c r="G362" i="1"/>
  <c r="D363" i="1"/>
  <c r="F361" i="1" l="1"/>
  <c r="D362" i="1"/>
  <c r="D414" i="1"/>
  <c r="D398" i="1"/>
  <c r="E361" i="1"/>
  <c r="D388" i="1"/>
  <c r="D381" i="1"/>
  <c r="G361" i="1"/>
  <c r="D420" i="1"/>
  <c r="D361" i="1" l="1"/>
</calcChain>
</file>

<file path=xl/sharedStrings.xml><?xml version="1.0" encoding="utf-8"?>
<sst xmlns="http://schemas.openxmlformats.org/spreadsheetml/2006/main" count="631" uniqueCount="166">
  <si>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</si>
  <si>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</si>
  <si>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</si>
  <si>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</si>
  <si>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</si>
  <si>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</si>
  <si>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</si>
  <si>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</si>
  <si>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</si>
  <si>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</si>
  <si>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</si>
  <si>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</si>
  <si>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</si>
  <si>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</si>
  <si>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</si>
  <si>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</si>
  <si>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</si>
  <si>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</si>
  <si>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</si>
  <si>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</si>
  <si>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</si>
  <si>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</si>
  <si>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</si>
  <si>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</si>
  <si>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</si>
  <si>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</si>
  <si>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</si>
  <si>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</si>
  <si>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</si>
  <si>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</si>
  <si>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</si>
  <si>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</si>
  <si>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</si>
  <si>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</si>
  <si>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</si>
  <si>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</si>
  <si>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</si>
  <si>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</si>
  <si>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</si>
  <si>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</si>
  <si>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</si>
  <si>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</si>
  <si>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</si>
  <si>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</si>
  <si>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</si>
  <si>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</si>
  <si>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</si>
  <si>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</si>
  <si>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</si>
  <si>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</si>
  <si>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</si>
  <si>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</si>
  <si>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</si>
  <si>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</si>
  <si>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</si>
  <si>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</si>
  <si>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</si>
  <si>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</si>
  <si>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</si>
  <si>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</si>
  <si>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</si>
  <si>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</si>
  <si>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</si>
  <si>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</si>
  <si>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</si>
  <si>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</si>
  <si>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</si>
  <si>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</si>
  <si>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</si>
  <si>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</si>
  <si>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</si>
  <si>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</si>
  <si>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</si>
  <si>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</si>
  <si>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</si>
  <si>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</si>
  <si>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</si>
  <si>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</si>
  <si>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</si>
  <si>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</si>
  <si>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</si>
  <si>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</si>
  <si>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</si>
  <si>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</si>
  <si>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</si>
  <si>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</si>
  <si>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</si>
  <si>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</si>
  <si>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</si>
  <si>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</si>
  <si>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</si>
  <si>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</si>
  <si>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</si>
  <si>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</si>
  <si>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</si>
  <si>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</si>
  <si>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</si>
  <si>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</si>
  <si>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</si>
  <si>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</si>
  <si>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</si>
  <si>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</si>
  <si>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</si>
  <si>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</si>
  <si>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</si>
  <si>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</si>
  <si>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</si>
  <si>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</si>
  <si>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</si>
  <si>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</si>
  <si>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</si>
  <si>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</si>
  <si>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</si>
  <si>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</si>
  <si>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</si>
  <si>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</si>
  <si>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</si>
  <si>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</si>
  <si>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</si>
  <si>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</si>
  <si>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</si>
  <si>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</si>
  <si>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</si>
  <si>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</si>
  <si>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</si>
  <si>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</si>
  <si>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</si>
  <si>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</si>
  <si>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</si>
  <si>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</si>
  <si>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</si>
  <si>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</si>
  <si>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</si>
  <si>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</si>
  <si>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</si>
  <si>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</si>
  <si>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</si>
  <si>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</si>
  <si>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</si>
  <si>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</si>
  <si>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</si>
  <si>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</si>
  <si>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</si>
  <si>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</si>
  <si>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</si>
  <si>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</si>
  <si>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</si>
  <si>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</si>
  <si>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</si>
  <si>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</si>
  <si>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</si>
  <si>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</si>
  <si>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</si>
  <si>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</si>
  <si>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</si>
  <si>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</si>
  <si>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</si>
  <si>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</si>
  <si>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</si>
  <si>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</si>
  <si>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</si>
  <si>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</si>
  <si>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</si>
  <si>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</si>
  <si>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(4VB(TP))</t>
  </si>
  <si>
    <t>2020 m. rugpjūčio 20 d. sprendimu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</si>
</sst>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8" fillId="0" borderId="0" xfId="1" applyFont="1"/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7"/>
  <sheetViews>
    <sheetView tabSelected="1" workbookViewId="0">
      <pane ySplit="12" topLeftCell="A343" activePane="bottomLeft" state="frozen"/>
      <selection pane="bottomLeft" activeCell="K10" sqref="K10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98" t="s">
        <v>0</v>
      </c>
      <c r="E1" s="98"/>
      <c r="F1" s="98"/>
      <c r="G1" s="98"/>
    </row>
    <row r="2" spans="1:9" ht="15.75" x14ac:dyDescent="0.25">
      <c r="A2" s="3"/>
      <c r="B2" s="3"/>
      <c r="C2" s="3"/>
      <c r="D2" s="98" t="s">
        <v>1</v>
      </c>
      <c r="E2" s="98"/>
      <c r="F2" s="98"/>
      <c r="G2" s="98"/>
    </row>
    <row r="3" spans="1:9" ht="15.75" x14ac:dyDescent="0.25">
      <c r="A3" s="3"/>
      <c r="B3" s="3"/>
      <c r="C3" s="3"/>
      <c r="D3" s="98" t="s">
        <v>165</v>
      </c>
      <c r="E3" s="98"/>
      <c r="F3" s="98"/>
      <c r="G3" s="98"/>
    </row>
    <row r="4" spans="1:9" ht="15.75" x14ac:dyDescent="0.25">
      <c r="A4" s="3"/>
      <c r="B4" s="3"/>
      <c r="C4" s="3"/>
      <c r="D4" s="98" t="s">
        <v>2</v>
      </c>
      <c r="E4" s="98"/>
      <c r="F4" s="98"/>
      <c r="G4" s="98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4" t="s">
        <v>163</v>
      </c>
      <c r="B7" s="94"/>
      <c r="C7" s="94"/>
      <c r="D7" s="94"/>
      <c r="E7" s="94"/>
      <c r="F7" s="94"/>
      <c r="G7" s="94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5" t="s">
        <v>3</v>
      </c>
      <c r="G9" s="95"/>
    </row>
    <row r="10" spans="1:9" ht="12.75" customHeight="1" x14ac:dyDescent="0.25">
      <c r="A10" s="96" t="s">
        <v>4</v>
      </c>
      <c r="B10" s="97" t="s">
        <v>5</v>
      </c>
      <c r="C10" s="96" t="s">
        <v>6</v>
      </c>
      <c r="D10" s="97" t="s">
        <v>7</v>
      </c>
      <c r="E10" s="97" t="s">
        <v>8</v>
      </c>
      <c r="F10" s="97"/>
      <c r="G10" s="97"/>
    </row>
    <row r="11" spans="1:9" x14ac:dyDescent="0.25">
      <c r="A11" s="96"/>
      <c r="B11" s="97"/>
      <c r="C11" s="96"/>
      <c r="D11" s="97"/>
      <c r="E11" s="97" t="s">
        <v>9</v>
      </c>
      <c r="F11" s="97"/>
      <c r="G11" s="97" t="s">
        <v>10</v>
      </c>
    </row>
    <row r="12" spans="1:9" ht="25.5" x14ac:dyDescent="0.25">
      <c r="A12" s="96"/>
      <c r="B12" s="97"/>
      <c r="C12" s="96"/>
      <c r="D12" s="97"/>
      <c r="E12" s="6" t="s">
        <v>11</v>
      </c>
      <c r="F12" s="5" t="s">
        <v>12</v>
      </c>
      <c r="G12" s="97"/>
    </row>
    <row r="13" spans="1:9" s="11" customFormat="1" ht="15" customHeight="1" x14ac:dyDescent="0.25">
      <c r="A13" s="93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93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21191.9</v>
      </c>
      <c r="E15" s="16">
        <f>SUM(E16:E62)</f>
        <v>14057.199999999999</v>
      </c>
      <c r="F15" s="16">
        <f>SUM(F16:F62)</f>
        <v>4569.0999999999995</v>
      </c>
      <c r="G15" s="16">
        <f>SUM(G16:G62)</f>
        <v>7134.7000000000007</v>
      </c>
    </row>
    <row r="16" spans="1:9" ht="12.75" customHeight="1" x14ac:dyDescent="0.25">
      <c r="A16" s="81"/>
      <c r="B16" s="13" t="s">
        <v>15</v>
      </c>
      <c r="C16" s="78" t="s">
        <v>16</v>
      </c>
      <c r="D16" s="17">
        <f t="shared" si="0"/>
        <v>3944.7000000000003</v>
      </c>
      <c r="E16" s="17">
        <f>3901.8-35.4</f>
        <v>3866.4</v>
      </c>
      <c r="F16" s="17">
        <v>3087.6</v>
      </c>
      <c r="G16" s="17">
        <f>96.4-24.1+6</f>
        <v>78.300000000000011</v>
      </c>
      <c r="H16" s="18"/>
    </row>
    <row r="17" spans="1:8" ht="12.95" customHeight="1" x14ac:dyDescent="0.25">
      <c r="A17" s="81"/>
      <c r="B17" s="13" t="s">
        <v>19</v>
      </c>
      <c r="C17" s="79"/>
      <c r="D17" s="14">
        <f t="shared" ref="D17:D103" si="1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3" t="s">
        <v>31</v>
      </c>
      <c r="C18" s="79"/>
      <c r="D18" s="14">
        <f t="shared" si="1"/>
        <v>111.4</v>
      </c>
      <c r="E18" s="14">
        <f>109+2.4</f>
        <v>111.4</v>
      </c>
      <c r="F18" s="14">
        <v>109</v>
      </c>
      <c r="G18" s="14"/>
    </row>
    <row r="19" spans="1:8" ht="12.95" customHeight="1" x14ac:dyDescent="0.25">
      <c r="A19" s="81"/>
      <c r="B19" s="19" t="s">
        <v>20</v>
      </c>
      <c r="C19" s="79"/>
      <c r="D19" s="14">
        <f t="shared" si="1"/>
        <v>1479.8</v>
      </c>
      <c r="E19" s="14">
        <v>1479.8</v>
      </c>
      <c r="F19" s="14">
        <v>833.6</v>
      </c>
      <c r="G19" s="14"/>
    </row>
    <row r="20" spans="1:8" ht="12.95" customHeight="1" x14ac:dyDescent="0.25">
      <c r="A20" s="81"/>
      <c r="B20" s="13" t="s">
        <v>24</v>
      </c>
      <c r="C20" s="79"/>
      <c r="D20" s="14">
        <f t="shared" si="1"/>
        <v>15.9</v>
      </c>
      <c r="E20" s="14">
        <v>15.9</v>
      </c>
      <c r="F20" s="14">
        <v>15.6</v>
      </c>
      <c r="G20" s="14"/>
    </row>
    <row r="21" spans="1:8" ht="12.95" customHeight="1" x14ac:dyDescent="0.25">
      <c r="A21" s="81"/>
      <c r="B21" s="13" t="s">
        <v>162</v>
      </c>
      <c r="C21" s="79"/>
      <c r="D21" s="14">
        <f t="shared" si="1"/>
        <v>47.4</v>
      </c>
      <c r="E21" s="14"/>
      <c r="F21" s="14"/>
      <c r="G21" s="14">
        <v>47.4</v>
      </c>
    </row>
    <row r="22" spans="1:8" ht="12.95" customHeight="1" x14ac:dyDescent="0.25">
      <c r="A22" s="81"/>
      <c r="B22" s="13" t="s">
        <v>21</v>
      </c>
      <c r="C22" s="80"/>
      <c r="D22" s="14">
        <f t="shared" si="1"/>
        <v>107.69999999999999</v>
      </c>
      <c r="E22" s="14">
        <v>42.9</v>
      </c>
      <c r="F22" s="14"/>
      <c r="G22" s="14">
        <v>64.8</v>
      </c>
    </row>
    <row r="23" spans="1:8" ht="12.95" customHeight="1" x14ac:dyDescent="0.25">
      <c r="A23" s="81"/>
      <c r="B23" s="13" t="s">
        <v>15</v>
      </c>
      <c r="C23" s="78" t="s">
        <v>22</v>
      </c>
      <c r="D23" s="14">
        <f t="shared" si="1"/>
        <v>339.70000000000005</v>
      </c>
      <c r="E23" s="14">
        <v>246.3</v>
      </c>
      <c r="F23" s="14"/>
      <c r="G23" s="14">
        <f>73.4+20</f>
        <v>93.4</v>
      </c>
      <c r="H23" s="18"/>
    </row>
    <row r="24" spans="1:8" ht="12.95" customHeight="1" x14ac:dyDescent="0.25">
      <c r="A24" s="81"/>
      <c r="B24" s="13" t="s">
        <v>21</v>
      </c>
      <c r="C24" s="79"/>
      <c r="D24" s="14">
        <f t="shared" si="1"/>
        <v>255.6</v>
      </c>
      <c r="E24" s="14">
        <v>38.4</v>
      </c>
      <c r="F24" s="14">
        <v>8.3000000000000007</v>
      </c>
      <c r="G24" s="14">
        <v>217.2</v>
      </c>
      <c r="H24" s="18"/>
    </row>
    <row r="25" spans="1:8" ht="12.95" customHeight="1" x14ac:dyDescent="0.25">
      <c r="A25" s="81"/>
      <c r="B25" s="13" t="s">
        <v>23</v>
      </c>
      <c r="C25" s="79"/>
      <c r="D25" s="14">
        <f t="shared" si="1"/>
        <v>37.700000000000003</v>
      </c>
      <c r="E25" s="14">
        <v>37.700000000000003</v>
      </c>
      <c r="F25" s="14">
        <v>1.4</v>
      </c>
      <c r="G25" s="14"/>
      <c r="H25" s="18"/>
    </row>
    <row r="26" spans="1:8" ht="12.95" customHeight="1" x14ac:dyDescent="0.25">
      <c r="A26" s="81"/>
      <c r="B26" s="13" t="s">
        <v>24</v>
      </c>
      <c r="C26" s="79"/>
      <c r="D26" s="14">
        <f t="shared" si="1"/>
        <v>14.4</v>
      </c>
      <c r="E26" s="14"/>
      <c r="F26" s="14"/>
      <c r="G26" s="14">
        <v>14.4</v>
      </c>
    </row>
    <row r="27" spans="1:8" ht="12.95" customHeight="1" x14ac:dyDescent="0.25">
      <c r="A27" s="81"/>
      <c r="B27" s="13" t="s">
        <v>160</v>
      </c>
      <c r="C27" s="79"/>
      <c r="D27" s="14">
        <f t="shared" si="1"/>
        <v>146.1</v>
      </c>
      <c r="E27" s="14">
        <v>146.1</v>
      </c>
      <c r="F27" s="14"/>
      <c r="G27" s="14"/>
    </row>
    <row r="28" spans="1:8" ht="12.95" customHeight="1" x14ac:dyDescent="0.25">
      <c r="A28" s="81"/>
      <c r="B28" s="13" t="s">
        <v>117</v>
      </c>
      <c r="C28" s="79"/>
      <c r="D28" s="14">
        <f t="shared" si="1"/>
        <v>22.8</v>
      </c>
      <c r="E28" s="14">
        <v>22.8</v>
      </c>
      <c r="F28" s="14"/>
      <c r="G28" s="14"/>
    </row>
    <row r="29" spans="1:8" ht="12.95" customHeight="1" x14ac:dyDescent="0.25">
      <c r="A29" s="81"/>
      <c r="B29" s="13" t="s">
        <v>164</v>
      </c>
      <c r="C29" s="79"/>
      <c r="D29" s="14">
        <f t="shared" si="1"/>
        <v>48.2</v>
      </c>
      <c r="E29" s="14">
        <v>48.2</v>
      </c>
      <c r="F29" s="14"/>
      <c r="G29" s="14"/>
    </row>
    <row r="30" spans="1:8" ht="12.95" customHeight="1" x14ac:dyDescent="0.25">
      <c r="A30" s="81"/>
      <c r="B30" s="13" t="s">
        <v>26</v>
      </c>
      <c r="C30" s="80"/>
      <c r="D30" s="14">
        <f t="shared" si="1"/>
        <v>19.5</v>
      </c>
      <c r="E30" s="14"/>
      <c r="F30" s="14"/>
      <c r="G30" s="14">
        <v>19.5</v>
      </c>
    </row>
    <row r="31" spans="1:8" ht="12.95" customHeight="1" x14ac:dyDescent="0.25">
      <c r="A31" s="81"/>
      <c r="B31" s="13" t="s">
        <v>15</v>
      </c>
      <c r="C31" s="78" t="s">
        <v>27</v>
      </c>
      <c r="D31" s="14">
        <f t="shared" si="1"/>
        <v>560</v>
      </c>
      <c r="E31" s="14">
        <f>465.3-20+6.5</f>
        <v>451.8</v>
      </c>
      <c r="F31" s="14">
        <f>82.7+5.6</f>
        <v>88.3</v>
      </c>
      <c r="G31" s="14">
        <v>108.2</v>
      </c>
      <c r="H31" s="18"/>
    </row>
    <row r="32" spans="1:8" ht="12.95" customHeight="1" x14ac:dyDescent="0.25">
      <c r="A32" s="81"/>
      <c r="B32" s="13" t="s">
        <v>21</v>
      </c>
      <c r="C32" s="79"/>
      <c r="D32" s="14">
        <f t="shared" si="1"/>
        <v>775.80000000000007</v>
      </c>
      <c r="E32" s="14">
        <f>4.6+0.4</f>
        <v>5</v>
      </c>
      <c r="F32" s="14">
        <v>4.5</v>
      </c>
      <c r="G32" s="14">
        <f>771.2-0.4</f>
        <v>770.80000000000007</v>
      </c>
      <c r="H32" s="18"/>
    </row>
    <row r="33" spans="1:8" ht="12.95" customHeight="1" x14ac:dyDescent="0.25">
      <c r="A33" s="81"/>
      <c r="B33" s="13" t="s">
        <v>24</v>
      </c>
      <c r="C33" s="79"/>
      <c r="D33" s="14">
        <f t="shared" si="1"/>
        <v>59</v>
      </c>
      <c r="E33" s="14"/>
      <c r="F33" s="14"/>
      <c r="G33" s="14">
        <v>59</v>
      </c>
      <c r="H33" s="18"/>
    </row>
    <row r="34" spans="1:8" ht="12.95" customHeight="1" x14ac:dyDescent="0.25">
      <c r="A34" s="81"/>
      <c r="B34" s="13" t="s">
        <v>25</v>
      </c>
      <c r="C34" s="79"/>
      <c r="D34" s="14">
        <f t="shared" si="1"/>
        <v>350</v>
      </c>
      <c r="E34" s="14"/>
      <c r="F34" s="14"/>
      <c r="G34" s="14">
        <v>350</v>
      </c>
      <c r="H34" s="18"/>
    </row>
    <row r="35" spans="1:8" ht="12.95" customHeight="1" x14ac:dyDescent="0.25">
      <c r="A35" s="81"/>
      <c r="B35" s="13" t="s">
        <v>28</v>
      </c>
      <c r="C35" s="80"/>
      <c r="D35" s="14">
        <f t="shared" si="1"/>
        <v>83.5</v>
      </c>
      <c r="E35" s="14"/>
      <c r="F35" s="14"/>
      <c r="G35" s="14">
        <v>83.5</v>
      </c>
      <c r="H35" s="20"/>
    </row>
    <row r="36" spans="1:8" ht="12.95" customHeight="1" x14ac:dyDescent="0.25">
      <c r="A36" s="81"/>
      <c r="B36" s="13" t="s">
        <v>15</v>
      </c>
      <c r="C36" s="78" t="s">
        <v>29</v>
      </c>
      <c r="D36" s="14">
        <f t="shared" si="1"/>
        <v>1535.9</v>
      </c>
      <c r="E36" s="14">
        <v>425.4</v>
      </c>
      <c r="F36" s="14">
        <v>98.5</v>
      </c>
      <c r="G36" s="14">
        <f>1112.5-2</f>
        <v>1110.5</v>
      </c>
      <c r="H36" s="18"/>
    </row>
    <row r="37" spans="1:8" ht="12.95" customHeight="1" x14ac:dyDescent="0.25">
      <c r="A37" s="81"/>
      <c r="B37" s="13" t="s">
        <v>162</v>
      </c>
      <c r="C37" s="79"/>
      <c r="D37" s="14">
        <f t="shared" si="1"/>
        <v>260</v>
      </c>
      <c r="E37" s="14"/>
      <c r="F37" s="14"/>
      <c r="G37" s="14">
        <v>260</v>
      </c>
      <c r="H37" s="18"/>
    </row>
    <row r="38" spans="1:8" ht="12.95" customHeight="1" x14ac:dyDescent="0.25">
      <c r="A38" s="81"/>
      <c r="B38" s="13" t="s">
        <v>21</v>
      </c>
      <c r="C38" s="79"/>
      <c r="D38" s="14">
        <f t="shared" si="1"/>
        <v>217.5</v>
      </c>
      <c r="E38" s="14"/>
      <c r="F38" s="14"/>
      <c r="G38" s="14">
        <v>217.5</v>
      </c>
      <c r="H38" s="18"/>
    </row>
    <row r="39" spans="1:8" ht="12.95" customHeight="1" x14ac:dyDescent="0.25">
      <c r="A39" s="81"/>
      <c r="B39" s="13" t="s">
        <v>24</v>
      </c>
      <c r="C39" s="79"/>
      <c r="D39" s="14">
        <f t="shared" si="1"/>
        <v>50</v>
      </c>
      <c r="E39" s="14"/>
      <c r="F39" s="14"/>
      <c r="G39" s="14">
        <v>50</v>
      </c>
      <c r="H39" s="18"/>
    </row>
    <row r="40" spans="1:8" ht="12.75" customHeight="1" x14ac:dyDescent="0.25">
      <c r="A40" s="81"/>
      <c r="B40" s="13" t="s">
        <v>28</v>
      </c>
      <c r="C40" s="79"/>
      <c r="D40" s="14">
        <f t="shared" si="1"/>
        <v>38.4</v>
      </c>
      <c r="E40" s="21"/>
      <c r="F40" s="21"/>
      <c r="G40" s="14">
        <v>38.4</v>
      </c>
    </row>
    <row r="41" spans="1:8" ht="12.75" customHeight="1" x14ac:dyDescent="0.25">
      <c r="A41" s="81"/>
      <c r="B41" s="13" t="s">
        <v>117</v>
      </c>
      <c r="C41" s="79"/>
      <c r="D41" s="14">
        <f t="shared" si="1"/>
        <v>3659.8</v>
      </c>
      <c r="E41" s="22">
        <f>1590.4+8.4</f>
        <v>1598.8000000000002</v>
      </c>
      <c r="F41" s="21"/>
      <c r="G41" s="14">
        <f>2080.5-19.5</f>
        <v>2061</v>
      </c>
    </row>
    <row r="42" spans="1:8" ht="12.75" customHeight="1" x14ac:dyDescent="0.25">
      <c r="A42" s="81"/>
      <c r="B42" s="19" t="s">
        <v>20</v>
      </c>
      <c r="C42" s="80"/>
      <c r="D42" s="14">
        <f t="shared" si="1"/>
        <v>27.8</v>
      </c>
      <c r="E42" s="22">
        <v>27.8</v>
      </c>
      <c r="F42" s="21"/>
      <c r="G42" s="14"/>
    </row>
    <row r="43" spans="1:8" ht="12.95" customHeight="1" x14ac:dyDescent="0.25">
      <c r="A43" s="81"/>
      <c r="B43" s="13" t="s">
        <v>15</v>
      </c>
      <c r="C43" s="78" t="s">
        <v>30</v>
      </c>
      <c r="D43" s="14">
        <f t="shared" si="1"/>
        <v>1134.2</v>
      </c>
      <c r="E43" s="14">
        <f>1010.9+15</f>
        <v>1025.9000000000001</v>
      </c>
      <c r="F43" s="14"/>
      <c r="G43" s="14">
        <v>108.3</v>
      </c>
    </row>
    <row r="44" spans="1:8" ht="12.95" customHeight="1" x14ac:dyDescent="0.25">
      <c r="A44" s="81"/>
      <c r="B44" s="13" t="s">
        <v>31</v>
      </c>
      <c r="C44" s="79"/>
      <c r="D44" s="14">
        <f>SUM(G44+E44)</f>
        <v>2506</v>
      </c>
      <c r="E44" s="14">
        <f>2629.2-183.5</f>
        <v>2445.6999999999998</v>
      </c>
      <c r="F44" s="14">
        <v>209.3</v>
      </c>
      <c r="G44" s="14">
        <f>35+25.3</f>
        <v>60.3</v>
      </c>
    </row>
    <row r="45" spans="1:8" ht="12.95" customHeight="1" x14ac:dyDescent="0.25">
      <c r="A45" s="81"/>
      <c r="B45" s="13" t="s">
        <v>21</v>
      </c>
      <c r="C45" s="79"/>
      <c r="D45" s="14">
        <f t="shared" si="1"/>
        <v>550.20000000000005</v>
      </c>
      <c r="E45" s="14">
        <v>143.4</v>
      </c>
      <c r="F45" s="14">
        <v>105.4</v>
      </c>
      <c r="G45" s="14">
        <v>406.8</v>
      </c>
    </row>
    <row r="46" spans="1:8" ht="12.95" customHeight="1" x14ac:dyDescent="0.25">
      <c r="A46" s="81"/>
      <c r="B46" s="13" t="s">
        <v>28</v>
      </c>
      <c r="C46" s="79"/>
      <c r="D46" s="14">
        <f t="shared" si="1"/>
        <v>61.2</v>
      </c>
      <c r="E46" s="14"/>
      <c r="F46" s="14"/>
      <c r="G46" s="14">
        <v>61.2</v>
      </c>
    </row>
    <row r="47" spans="1:8" ht="12.95" customHeight="1" x14ac:dyDescent="0.25">
      <c r="A47" s="81"/>
      <c r="B47" s="13" t="s">
        <v>117</v>
      </c>
      <c r="C47" s="79"/>
      <c r="D47" s="14">
        <f t="shared" si="1"/>
        <v>5</v>
      </c>
      <c r="E47" s="14">
        <v>5</v>
      </c>
      <c r="F47" s="14"/>
      <c r="G47" s="14"/>
    </row>
    <row r="48" spans="1:8" ht="12.95" customHeight="1" x14ac:dyDescent="0.25">
      <c r="A48" s="81"/>
      <c r="B48" s="19" t="s">
        <v>20</v>
      </c>
      <c r="C48" s="80"/>
      <c r="D48" s="14">
        <f t="shared" si="1"/>
        <v>1.6</v>
      </c>
      <c r="E48" s="14">
        <v>1.6</v>
      </c>
      <c r="F48" s="14"/>
      <c r="G48" s="23"/>
    </row>
    <row r="49" spans="1:8" ht="12.95" customHeight="1" x14ac:dyDescent="0.25">
      <c r="A49" s="81"/>
      <c r="B49" s="13" t="s">
        <v>15</v>
      </c>
      <c r="C49" s="78" t="s">
        <v>32</v>
      </c>
      <c r="D49" s="14">
        <f t="shared" si="1"/>
        <v>38</v>
      </c>
      <c r="E49" s="14">
        <v>38</v>
      </c>
      <c r="F49" s="14"/>
      <c r="G49" s="14"/>
      <c r="H49" s="18"/>
    </row>
    <row r="50" spans="1:8" ht="12.95" customHeight="1" x14ac:dyDescent="0.25">
      <c r="A50" s="81"/>
      <c r="B50" s="13" t="s">
        <v>21</v>
      </c>
      <c r="C50" s="79"/>
      <c r="D50" s="14">
        <f t="shared" si="1"/>
        <v>2.9</v>
      </c>
      <c r="E50" s="14">
        <v>2.9</v>
      </c>
      <c r="F50" s="14">
        <v>0.4</v>
      </c>
      <c r="G50" s="14"/>
      <c r="H50" s="18"/>
    </row>
    <row r="51" spans="1:8" ht="12.95" customHeight="1" x14ac:dyDescent="0.25">
      <c r="A51" s="81"/>
      <c r="B51" s="13" t="s">
        <v>24</v>
      </c>
      <c r="C51" s="79"/>
      <c r="D51" s="14">
        <f t="shared" si="1"/>
        <v>0.2</v>
      </c>
      <c r="E51" s="14">
        <v>0.2</v>
      </c>
      <c r="F51" s="14"/>
      <c r="G51" s="14"/>
      <c r="H51" s="18"/>
    </row>
    <row r="52" spans="1:8" ht="12.95" customHeight="1" x14ac:dyDescent="0.25">
      <c r="A52" s="81"/>
      <c r="B52" s="19" t="s">
        <v>20</v>
      </c>
      <c r="C52" s="79"/>
      <c r="D52" s="14">
        <f t="shared" si="1"/>
        <v>4.8</v>
      </c>
      <c r="E52" s="14">
        <v>4.8</v>
      </c>
      <c r="F52" s="14">
        <v>4.7</v>
      </c>
      <c r="G52" s="23"/>
    </row>
    <row r="53" spans="1:8" ht="12.95" customHeight="1" x14ac:dyDescent="0.25">
      <c r="A53" s="81"/>
      <c r="B53" s="13" t="s">
        <v>33</v>
      </c>
      <c r="C53" s="80"/>
      <c r="D53" s="14">
        <f t="shared" si="1"/>
        <v>23</v>
      </c>
      <c r="E53" s="14">
        <v>23</v>
      </c>
      <c r="F53" s="14"/>
      <c r="G53" s="23"/>
    </row>
    <row r="54" spans="1:8" ht="12.75" customHeight="1" x14ac:dyDescent="0.25">
      <c r="A54" s="81"/>
      <c r="B54" s="13" t="s">
        <v>15</v>
      </c>
      <c r="C54" s="78" t="s">
        <v>34</v>
      </c>
      <c r="D54" s="14">
        <f t="shared" si="1"/>
        <v>801.5</v>
      </c>
      <c r="E54" s="14">
        <v>754.8</v>
      </c>
      <c r="F54" s="14"/>
      <c r="G54" s="14">
        <v>46.7</v>
      </c>
      <c r="H54" s="18"/>
    </row>
    <row r="55" spans="1:8" ht="12.95" customHeight="1" x14ac:dyDescent="0.25">
      <c r="A55" s="81"/>
      <c r="B55" s="13" t="s">
        <v>33</v>
      </c>
      <c r="C55" s="79"/>
      <c r="D55" s="14">
        <f t="shared" si="1"/>
        <v>127</v>
      </c>
      <c r="E55" s="14">
        <v>95.5</v>
      </c>
      <c r="F55" s="14"/>
      <c r="G55" s="14">
        <v>31.5</v>
      </c>
    </row>
    <row r="56" spans="1:8" ht="12.75" customHeight="1" x14ac:dyDescent="0.25">
      <c r="A56" s="81"/>
      <c r="B56" s="13" t="s">
        <v>21</v>
      </c>
      <c r="C56" s="79"/>
      <c r="D56" s="14">
        <f t="shared" si="1"/>
        <v>658.09999999999991</v>
      </c>
      <c r="E56" s="14">
        <f>71.3-0.3+0.3</f>
        <v>71.3</v>
      </c>
      <c r="F56" s="14">
        <f>1.9+0.3</f>
        <v>2.1999999999999997</v>
      </c>
      <c r="G56" s="14">
        <v>586.79999999999995</v>
      </c>
    </row>
    <row r="57" spans="1:8" ht="12.75" customHeight="1" x14ac:dyDescent="0.25">
      <c r="A57" s="81"/>
      <c r="B57" s="13" t="s">
        <v>117</v>
      </c>
      <c r="C57" s="79"/>
      <c r="D57" s="14">
        <f t="shared" si="1"/>
        <v>7.2</v>
      </c>
      <c r="E57" s="14">
        <v>7.2</v>
      </c>
      <c r="F57" s="14"/>
      <c r="G57" s="14"/>
    </row>
    <row r="58" spans="1:8" ht="12.75" customHeight="1" x14ac:dyDescent="0.25">
      <c r="A58" s="81"/>
      <c r="B58" s="13" t="s">
        <v>28</v>
      </c>
      <c r="C58" s="80"/>
      <c r="D58" s="14">
        <f t="shared" si="1"/>
        <v>35.700000000000003</v>
      </c>
      <c r="E58" s="14"/>
      <c r="F58" s="14"/>
      <c r="G58" s="14">
        <v>35.700000000000003</v>
      </c>
    </row>
    <row r="59" spans="1:8" ht="12.95" customHeight="1" x14ac:dyDescent="0.25">
      <c r="A59" s="81"/>
      <c r="B59" s="13" t="s">
        <v>15</v>
      </c>
      <c r="C59" s="78" t="s">
        <v>35</v>
      </c>
      <c r="D59" s="14">
        <f t="shared" si="1"/>
        <v>216.5</v>
      </c>
      <c r="E59" s="14">
        <v>77.7</v>
      </c>
      <c r="F59" s="14"/>
      <c r="G59" s="14">
        <v>138.80000000000001</v>
      </c>
      <c r="H59" s="18"/>
    </row>
    <row r="60" spans="1:8" ht="12.95" customHeight="1" x14ac:dyDescent="0.25">
      <c r="A60" s="81"/>
      <c r="B60" s="13" t="s">
        <v>21</v>
      </c>
      <c r="C60" s="79"/>
      <c r="D60" s="14">
        <f t="shared" si="1"/>
        <v>126.6</v>
      </c>
      <c r="E60" s="14">
        <v>121.5</v>
      </c>
      <c r="F60" s="14">
        <v>0.3</v>
      </c>
      <c r="G60" s="14">
        <v>5.0999999999999996</v>
      </c>
      <c r="H60" s="18"/>
    </row>
    <row r="61" spans="1:8" ht="12.95" customHeight="1" x14ac:dyDescent="0.25">
      <c r="A61" s="81"/>
      <c r="B61" s="13" t="s">
        <v>28</v>
      </c>
      <c r="C61" s="79"/>
      <c r="D61" s="14">
        <f t="shared" si="1"/>
        <v>10.1</v>
      </c>
      <c r="E61" s="14">
        <v>0.5</v>
      </c>
      <c r="F61" s="14"/>
      <c r="G61" s="14">
        <f>10.1-0.5</f>
        <v>9.6</v>
      </c>
      <c r="H61" s="18"/>
    </row>
    <row r="62" spans="1:8" ht="12.75" customHeight="1" x14ac:dyDescent="0.25">
      <c r="A62" s="81"/>
      <c r="B62" s="19" t="s">
        <v>20</v>
      </c>
      <c r="C62" s="80"/>
      <c r="D62" s="14">
        <f t="shared" si="1"/>
        <v>646</v>
      </c>
      <c r="E62" s="14">
        <v>646</v>
      </c>
      <c r="F62" s="14"/>
      <c r="G62" s="14"/>
    </row>
    <row r="63" spans="1:8" ht="15" customHeight="1" x14ac:dyDescent="0.25">
      <c r="A63" s="91" t="s">
        <v>36</v>
      </c>
      <c r="B63" s="24" t="s">
        <v>37</v>
      </c>
      <c r="C63" s="25"/>
      <c r="D63" s="26">
        <f t="shared" si="1"/>
        <v>40.5</v>
      </c>
      <c r="E63" s="26">
        <f>SUM(E64:E67)</f>
        <v>28.5</v>
      </c>
      <c r="F63" s="27">
        <f>SUM(F64:F67)</f>
        <v>0</v>
      </c>
      <c r="G63" s="26">
        <f>SUM(G64:G67)</f>
        <v>12</v>
      </c>
    </row>
    <row r="64" spans="1:8" ht="12.75" customHeight="1" x14ac:dyDescent="0.25">
      <c r="A64" s="91"/>
      <c r="B64" s="13" t="s">
        <v>15</v>
      </c>
      <c r="C64" s="69" t="s">
        <v>16</v>
      </c>
      <c r="D64" s="14">
        <f t="shared" si="1"/>
        <v>23</v>
      </c>
      <c r="E64" s="14">
        <v>11</v>
      </c>
      <c r="F64" s="23"/>
      <c r="G64" s="14">
        <v>12</v>
      </c>
    </row>
    <row r="65" spans="1:7" ht="12.95" customHeight="1" x14ac:dyDescent="0.25">
      <c r="A65" s="91"/>
      <c r="B65" s="13" t="s">
        <v>15</v>
      </c>
      <c r="C65" s="78" t="s">
        <v>29</v>
      </c>
      <c r="D65" s="14">
        <f t="shared" si="1"/>
        <v>12.5</v>
      </c>
      <c r="E65" s="14">
        <v>12.5</v>
      </c>
      <c r="F65" s="23"/>
      <c r="G65" s="23"/>
    </row>
    <row r="66" spans="1:7" ht="12.95" customHeight="1" x14ac:dyDescent="0.25">
      <c r="A66" s="91"/>
      <c r="B66" s="13" t="s">
        <v>19</v>
      </c>
      <c r="C66" s="80"/>
      <c r="D66" s="14">
        <f t="shared" si="1"/>
        <v>0.5</v>
      </c>
      <c r="E66" s="14">
        <v>0.5</v>
      </c>
      <c r="F66" s="23"/>
      <c r="G66" s="23"/>
    </row>
    <row r="67" spans="1:7" ht="12.75" customHeight="1" x14ac:dyDescent="0.25">
      <c r="A67" s="91"/>
      <c r="B67" s="13" t="s">
        <v>31</v>
      </c>
      <c r="C67" s="69" t="s">
        <v>30</v>
      </c>
      <c r="D67" s="14">
        <f t="shared" si="1"/>
        <v>4.5</v>
      </c>
      <c r="E67" s="14">
        <v>4.5</v>
      </c>
      <c r="F67" s="28"/>
      <c r="G67" s="28"/>
    </row>
    <row r="68" spans="1:7" ht="15" customHeight="1" x14ac:dyDescent="0.25">
      <c r="A68" s="91" t="s">
        <v>38</v>
      </c>
      <c r="B68" s="24" t="s">
        <v>39</v>
      </c>
      <c r="C68" s="25"/>
      <c r="D68" s="26">
        <f t="shared" si="1"/>
        <v>42.8</v>
      </c>
      <c r="E68" s="26">
        <f>SUM(E69:E72)</f>
        <v>41.8</v>
      </c>
      <c r="F68" s="27">
        <f>SUM(F69:F72)</f>
        <v>0</v>
      </c>
      <c r="G68" s="26">
        <f>SUM(G69:G72)</f>
        <v>1</v>
      </c>
    </row>
    <row r="69" spans="1:7" ht="12.75" customHeight="1" x14ac:dyDescent="0.25">
      <c r="A69" s="91"/>
      <c r="B69" s="13" t="s">
        <v>15</v>
      </c>
      <c r="C69" s="69" t="s">
        <v>16</v>
      </c>
      <c r="D69" s="14">
        <f t="shared" si="1"/>
        <v>14.3</v>
      </c>
      <c r="E69" s="14">
        <v>14.3</v>
      </c>
      <c r="F69" s="14"/>
      <c r="G69" s="14"/>
    </row>
    <row r="70" spans="1:7" ht="12.75" customHeight="1" x14ac:dyDescent="0.25">
      <c r="A70" s="91"/>
      <c r="B70" s="13" t="s">
        <v>15</v>
      </c>
      <c r="C70" s="78" t="s">
        <v>29</v>
      </c>
      <c r="D70" s="14">
        <f t="shared" si="1"/>
        <v>17.100000000000001</v>
      </c>
      <c r="E70" s="14">
        <v>16.100000000000001</v>
      </c>
      <c r="F70" s="14"/>
      <c r="G70" s="14">
        <v>1</v>
      </c>
    </row>
    <row r="71" spans="1:7" ht="12.75" customHeight="1" x14ac:dyDescent="0.25">
      <c r="A71" s="91"/>
      <c r="B71" s="13" t="s">
        <v>19</v>
      </c>
      <c r="C71" s="80"/>
      <c r="D71" s="14">
        <f t="shared" si="1"/>
        <v>1.4</v>
      </c>
      <c r="E71" s="14">
        <v>1.4</v>
      </c>
      <c r="F71" s="14"/>
      <c r="G71" s="14"/>
    </row>
    <row r="72" spans="1:7" ht="12.75" customHeight="1" x14ac:dyDescent="0.25">
      <c r="A72" s="91"/>
      <c r="B72" s="13" t="s">
        <v>31</v>
      </c>
      <c r="C72" s="69" t="s">
        <v>30</v>
      </c>
      <c r="D72" s="14">
        <f t="shared" si="1"/>
        <v>10</v>
      </c>
      <c r="E72" s="14">
        <v>10</v>
      </c>
      <c r="F72" s="29"/>
      <c r="G72" s="28"/>
    </row>
    <row r="73" spans="1:7" ht="15" customHeight="1" x14ac:dyDescent="0.25">
      <c r="A73" s="91" t="s">
        <v>40</v>
      </c>
      <c r="B73" s="24" t="s">
        <v>41</v>
      </c>
      <c r="C73" s="71"/>
      <c r="D73" s="26">
        <f t="shared" si="1"/>
        <v>19.900000000000002</v>
      </c>
      <c r="E73" s="26">
        <f>SUM(E74:E77)</f>
        <v>19.900000000000002</v>
      </c>
      <c r="F73" s="27">
        <f>SUM(F74:F77)</f>
        <v>0</v>
      </c>
      <c r="G73" s="27">
        <f>SUM(G74:G77)</f>
        <v>0</v>
      </c>
    </row>
    <row r="74" spans="1:7" ht="12.75" customHeight="1" x14ac:dyDescent="0.25">
      <c r="A74" s="91"/>
      <c r="B74" s="13" t="s">
        <v>15</v>
      </c>
      <c r="C74" s="69" t="s">
        <v>16</v>
      </c>
      <c r="D74" s="14">
        <f t="shared" si="1"/>
        <v>7.5</v>
      </c>
      <c r="E74" s="14">
        <v>7.5</v>
      </c>
      <c r="F74" s="14"/>
      <c r="G74" s="14"/>
    </row>
    <row r="75" spans="1:7" ht="12.75" customHeight="1" x14ac:dyDescent="0.25">
      <c r="A75" s="91"/>
      <c r="B75" s="13" t="s">
        <v>15</v>
      </c>
      <c r="C75" s="78" t="s">
        <v>29</v>
      </c>
      <c r="D75" s="14">
        <f t="shared" si="1"/>
        <v>8.3000000000000007</v>
      </c>
      <c r="E75" s="14">
        <v>8.3000000000000007</v>
      </c>
      <c r="F75" s="14"/>
      <c r="G75" s="14"/>
    </row>
    <row r="76" spans="1:7" ht="12.75" customHeight="1" x14ac:dyDescent="0.25">
      <c r="A76" s="91"/>
      <c r="B76" s="13" t="s">
        <v>19</v>
      </c>
      <c r="C76" s="80"/>
      <c r="D76" s="14">
        <f t="shared" si="1"/>
        <v>0.6</v>
      </c>
      <c r="E76" s="14">
        <v>0.6</v>
      </c>
      <c r="F76" s="14"/>
      <c r="G76" s="14"/>
    </row>
    <row r="77" spans="1:7" ht="12.75" customHeight="1" x14ac:dyDescent="0.25">
      <c r="A77" s="91"/>
      <c r="B77" s="13" t="s">
        <v>31</v>
      </c>
      <c r="C77" s="69" t="s">
        <v>30</v>
      </c>
      <c r="D77" s="14">
        <f t="shared" si="1"/>
        <v>3.5</v>
      </c>
      <c r="E77" s="14">
        <v>3.5</v>
      </c>
      <c r="F77" s="29"/>
      <c r="G77" s="28"/>
    </row>
    <row r="78" spans="1:7" ht="15" customHeight="1" x14ac:dyDescent="0.25">
      <c r="A78" s="91" t="s">
        <v>42</v>
      </c>
      <c r="B78" s="24" t="s">
        <v>43</v>
      </c>
      <c r="C78" s="25"/>
      <c r="D78" s="26">
        <f t="shared" si="1"/>
        <v>48.3</v>
      </c>
      <c r="E78" s="26">
        <f>SUM(E79:E83)</f>
        <v>48.3</v>
      </c>
      <c r="F78" s="27">
        <f>SUM(F79:F83)</f>
        <v>0</v>
      </c>
      <c r="G78" s="27">
        <f>SUM(G79:G83)</f>
        <v>0</v>
      </c>
    </row>
    <row r="79" spans="1:7" ht="12.75" customHeight="1" x14ac:dyDescent="0.25">
      <c r="A79" s="91"/>
      <c r="B79" s="13" t="s">
        <v>15</v>
      </c>
      <c r="C79" s="69" t="s">
        <v>16</v>
      </c>
      <c r="D79" s="14">
        <f t="shared" si="1"/>
        <v>10.9</v>
      </c>
      <c r="E79" s="14">
        <v>10.9</v>
      </c>
      <c r="F79" s="14"/>
      <c r="G79" s="14"/>
    </row>
    <row r="80" spans="1:7" ht="12.75" customHeight="1" x14ac:dyDescent="0.25">
      <c r="A80" s="91"/>
      <c r="B80" s="13" t="s">
        <v>15</v>
      </c>
      <c r="C80" s="78" t="s">
        <v>29</v>
      </c>
      <c r="D80" s="14">
        <f t="shared" si="1"/>
        <v>18.600000000000001</v>
      </c>
      <c r="E80" s="14">
        <v>18.600000000000001</v>
      </c>
      <c r="F80" s="14"/>
      <c r="G80" s="14"/>
    </row>
    <row r="81" spans="1:7" ht="12.75" customHeight="1" x14ac:dyDescent="0.25">
      <c r="A81" s="91"/>
      <c r="B81" s="13" t="s">
        <v>19</v>
      </c>
      <c r="C81" s="79"/>
      <c r="D81" s="14">
        <f t="shared" si="1"/>
        <v>2.5</v>
      </c>
      <c r="E81" s="14">
        <v>2.5</v>
      </c>
      <c r="F81" s="14"/>
      <c r="G81" s="14"/>
    </row>
    <row r="82" spans="1:7" ht="12.75" customHeight="1" x14ac:dyDescent="0.25">
      <c r="A82" s="91"/>
      <c r="B82" s="13" t="s">
        <v>31</v>
      </c>
      <c r="C82" s="80"/>
      <c r="D82" s="14">
        <f t="shared" si="1"/>
        <v>13</v>
      </c>
      <c r="E82" s="14">
        <v>13</v>
      </c>
      <c r="F82" s="14"/>
      <c r="G82" s="14"/>
    </row>
    <row r="83" spans="1:7" ht="12.75" customHeight="1" x14ac:dyDescent="0.25">
      <c r="A83" s="91"/>
      <c r="B83" s="13" t="s">
        <v>31</v>
      </c>
      <c r="C83" s="69" t="s">
        <v>30</v>
      </c>
      <c r="D83" s="14">
        <f t="shared" si="1"/>
        <v>3.3</v>
      </c>
      <c r="E83" s="14">
        <v>3.3</v>
      </c>
      <c r="F83" s="29"/>
      <c r="G83" s="28"/>
    </row>
    <row r="84" spans="1:7" ht="15" customHeight="1" x14ac:dyDescent="0.25">
      <c r="A84" s="92" t="s">
        <v>44</v>
      </c>
      <c r="B84" s="24" t="s">
        <v>45</v>
      </c>
      <c r="C84" s="71"/>
      <c r="D84" s="26">
        <f t="shared" si="1"/>
        <v>38.5</v>
      </c>
      <c r="E84" s="26">
        <f>SUM(E85:E89)</f>
        <v>22.299999999999997</v>
      </c>
      <c r="F84" s="27">
        <f>SUM(F85:F89)</f>
        <v>0</v>
      </c>
      <c r="G84" s="26">
        <f>SUM(G85:G89)</f>
        <v>16.2</v>
      </c>
    </row>
    <row r="85" spans="1:7" ht="12.75" customHeight="1" x14ac:dyDescent="0.25">
      <c r="A85" s="92"/>
      <c r="B85" s="13" t="s">
        <v>15</v>
      </c>
      <c r="C85" s="69" t="s">
        <v>16</v>
      </c>
      <c r="D85" s="14">
        <f t="shared" si="1"/>
        <v>10.8</v>
      </c>
      <c r="E85" s="14">
        <v>10.8</v>
      </c>
      <c r="F85" s="14"/>
      <c r="G85" s="14"/>
    </row>
    <row r="86" spans="1:7" ht="12.75" customHeight="1" x14ac:dyDescent="0.25">
      <c r="A86" s="92"/>
      <c r="B86" s="13" t="s">
        <v>15</v>
      </c>
      <c r="C86" s="78" t="s">
        <v>29</v>
      </c>
      <c r="D86" s="14">
        <f t="shared" si="1"/>
        <v>5.6</v>
      </c>
      <c r="E86" s="14">
        <v>5.6</v>
      </c>
      <c r="F86" s="14"/>
      <c r="G86" s="14"/>
    </row>
    <row r="87" spans="1:7" ht="12.75" customHeight="1" x14ac:dyDescent="0.25">
      <c r="A87" s="92"/>
      <c r="B87" s="13" t="s">
        <v>19</v>
      </c>
      <c r="C87" s="79"/>
      <c r="D87" s="14">
        <f t="shared" si="1"/>
        <v>0.9</v>
      </c>
      <c r="E87" s="14">
        <v>0.9</v>
      </c>
      <c r="F87" s="14"/>
      <c r="G87" s="14"/>
    </row>
    <row r="88" spans="1:7" ht="12.75" customHeight="1" x14ac:dyDescent="0.25">
      <c r="A88" s="92"/>
      <c r="B88" s="13" t="s">
        <v>31</v>
      </c>
      <c r="C88" s="80"/>
      <c r="D88" s="14">
        <f t="shared" si="1"/>
        <v>16.2</v>
      </c>
      <c r="E88" s="14"/>
      <c r="F88" s="14"/>
      <c r="G88" s="14">
        <v>16.2</v>
      </c>
    </row>
    <row r="89" spans="1:7" ht="12.75" customHeight="1" x14ac:dyDescent="0.25">
      <c r="A89" s="92"/>
      <c r="B89" s="13" t="s">
        <v>31</v>
      </c>
      <c r="C89" s="69" t="s">
        <v>30</v>
      </c>
      <c r="D89" s="14">
        <f t="shared" si="1"/>
        <v>5</v>
      </c>
      <c r="E89" s="14">
        <v>5</v>
      </c>
      <c r="F89" s="29"/>
      <c r="G89" s="28"/>
    </row>
    <row r="90" spans="1:7" ht="15" customHeight="1" x14ac:dyDescent="0.25">
      <c r="A90" s="92" t="s">
        <v>46</v>
      </c>
      <c r="B90" s="24" t="s">
        <v>47</v>
      </c>
      <c r="C90" s="71"/>
      <c r="D90" s="26">
        <f t="shared" si="1"/>
        <v>76.900000000000006</v>
      </c>
      <c r="E90" s="26">
        <f>SUM(E91:E96)</f>
        <v>60.4</v>
      </c>
      <c r="F90" s="27">
        <f>SUM(F91:F96)</f>
        <v>0</v>
      </c>
      <c r="G90" s="26">
        <f>SUM(G91:G96)</f>
        <v>16.5</v>
      </c>
    </row>
    <row r="91" spans="1:7" ht="12.75" customHeight="1" x14ac:dyDescent="0.25">
      <c r="A91" s="92"/>
      <c r="B91" s="13" t="s">
        <v>15</v>
      </c>
      <c r="C91" s="69" t="s">
        <v>16</v>
      </c>
      <c r="D91" s="14">
        <f t="shared" si="1"/>
        <v>16</v>
      </c>
      <c r="E91" s="14">
        <f>16-0.7</f>
        <v>15.3</v>
      </c>
      <c r="F91" s="14"/>
      <c r="G91" s="14">
        <v>0.7</v>
      </c>
    </row>
    <row r="92" spans="1:7" ht="12.75" customHeight="1" x14ac:dyDescent="0.25">
      <c r="A92" s="92"/>
      <c r="B92" s="13" t="s">
        <v>15</v>
      </c>
      <c r="C92" s="77" t="s">
        <v>27</v>
      </c>
      <c r="D92" s="14">
        <f t="shared" si="1"/>
        <v>7</v>
      </c>
      <c r="E92" s="14">
        <v>4.2</v>
      </c>
      <c r="F92" s="14"/>
      <c r="G92" s="14">
        <v>2.8</v>
      </c>
    </row>
    <row r="93" spans="1:7" ht="12.75" customHeight="1" x14ac:dyDescent="0.25">
      <c r="A93" s="92"/>
      <c r="B93" s="13" t="s">
        <v>15</v>
      </c>
      <c r="C93" s="78" t="s">
        <v>29</v>
      </c>
      <c r="D93" s="14">
        <f t="shared" si="1"/>
        <v>17</v>
      </c>
      <c r="E93" s="14">
        <v>16</v>
      </c>
      <c r="F93" s="14"/>
      <c r="G93" s="14">
        <f>1</f>
        <v>1</v>
      </c>
    </row>
    <row r="94" spans="1:7" ht="12.75" customHeight="1" x14ac:dyDescent="0.25">
      <c r="A94" s="92"/>
      <c r="B94" s="13" t="s">
        <v>19</v>
      </c>
      <c r="C94" s="79"/>
      <c r="D94" s="14">
        <f t="shared" si="1"/>
        <v>3.3</v>
      </c>
      <c r="E94" s="14">
        <v>3.3</v>
      </c>
      <c r="F94" s="14"/>
      <c r="G94" s="14"/>
    </row>
    <row r="95" spans="1:7" ht="12.75" customHeight="1" x14ac:dyDescent="0.25">
      <c r="A95" s="92"/>
      <c r="B95" s="13" t="s">
        <v>31</v>
      </c>
      <c r="C95" s="80"/>
      <c r="D95" s="14">
        <f t="shared" si="1"/>
        <v>18</v>
      </c>
      <c r="E95" s="14">
        <v>18</v>
      </c>
      <c r="F95" s="14"/>
      <c r="G95" s="14"/>
    </row>
    <row r="96" spans="1:7" ht="12.75" customHeight="1" x14ac:dyDescent="0.25">
      <c r="A96" s="92"/>
      <c r="B96" s="13" t="s">
        <v>31</v>
      </c>
      <c r="C96" s="69" t="s">
        <v>30</v>
      </c>
      <c r="D96" s="14">
        <f t="shared" si="1"/>
        <v>15.6</v>
      </c>
      <c r="E96" s="14">
        <v>3.6</v>
      </c>
      <c r="F96" s="29"/>
      <c r="G96" s="14">
        <v>12</v>
      </c>
    </row>
    <row r="97" spans="1:7" ht="15" customHeight="1" x14ac:dyDescent="0.25">
      <c r="A97" s="92" t="s">
        <v>48</v>
      </c>
      <c r="B97" s="24" t="s">
        <v>49</v>
      </c>
      <c r="C97" s="25"/>
      <c r="D97" s="26">
        <f t="shared" si="1"/>
        <v>26.199999999999996</v>
      </c>
      <c r="E97" s="26">
        <f>SUM(E98:E101)</f>
        <v>25.499999999999996</v>
      </c>
      <c r="F97" s="27">
        <f>SUM(F98:F101)</f>
        <v>0</v>
      </c>
      <c r="G97" s="27">
        <f>SUM(G98:G101)</f>
        <v>0.7</v>
      </c>
    </row>
    <row r="98" spans="1:7" ht="12.95" customHeight="1" x14ac:dyDescent="0.25">
      <c r="A98" s="92"/>
      <c r="B98" s="13" t="s">
        <v>15</v>
      </c>
      <c r="C98" s="72" t="s">
        <v>16</v>
      </c>
      <c r="D98" s="14">
        <f t="shared" si="1"/>
        <v>7.8</v>
      </c>
      <c r="E98" s="14">
        <f>7.8-0.7</f>
        <v>7.1</v>
      </c>
      <c r="F98" s="14"/>
      <c r="G98" s="14">
        <v>0.7</v>
      </c>
    </row>
    <row r="99" spans="1:7" ht="12.95" customHeight="1" x14ac:dyDescent="0.25">
      <c r="A99" s="92"/>
      <c r="B99" s="13" t="s">
        <v>15</v>
      </c>
      <c r="C99" s="78" t="s">
        <v>29</v>
      </c>
      <c r="D99" s="14">
        <f t="shared" si="1"/>
        <v>14.7</v>
      </c>
      <c r="E99" s="14">
        <v>14.7</v>
      </c>
      <c r="F99" s="14"/>
      <c r="G99" s="14"/>
    </row>
    <row r="100" spans="1:7" ht="12.95" customHeight="1" x14ac:dyDescent="0.25">
      <c r="A100" s="92"/>
      <c r="B100" s="13" t="s">
        <v>19</v>
      </c>
      <c r="C100" s="80"/>
      <c r="D100" s="14">
        <f t="shared" si="1"/>
        <v>0.4</v>
      </c>
      <c r="E100" s="14">
        <v>0.4</v>
      </c>
      <c r="F100" s="14"/>
      <c r="G100" s="14"/>
    </row>
    <row r="101" spans="1:7" ht="12.95" customHeight="1" x14ac:dyDescent="0.25">
      <c r="A101" s="92"/>
      <c r="B101" s="13" t="s">
        <v>31</v>
      </c>
      <c r="C101" s="72" t="s">
        <v>30</v>
      </c>
      <c r="D101" s="14">
        <f t="shared" si="1"/>
        <v>3.3</v>
      </c>
      <c r="E101" s="14">
        <v>3.3</v>
      </c>
      <c r="F101" s="29"/>
      <c r="G101" s="28"/>
    </row>
    <row r="102" spans="1:7" ht="15" customHeight="1" x14ac:dyDescent="0.25">
      <c r="A102" s="92" t="s">
        <v>50</v>
      </c>
      <c r="B102" s="24" t="s">
        <v>51</v>
      </c>
      <c r="C102" s="70"/>
      <c r="D102" s="26">
        <f t="shared" si="1"/>
        <v>54.199999999999996</v>
      </c>
      <c r="E102" s="26">
        <f>SUM(E103:E107)</f>
        <v>45.9</v>
      </c>
      <c r="F102" s="27">
        <f>SUM(F103:F107)</f>
        <v>0</v>
      </c>
      <c r="G102" s="26">
        <f>SUM(G103:G107)</f>
        <v>8.2999999999999989</v>
      </c>
    </row>
    <row r="103" spans="1:7" ht="12.75" customHeight="1" x14ac:dyDescent="0.25">
      <c r="A103" s="92"/>
      <c r="B103" s="13" t="s">
        <v>15</v>
      </c>
      <c r="C103" s="72" t="s">
        <v>16</v>
      </c>
      <c r="D103" s="14">
        <f t="shared" si="1"/>
        <v>15.2</v>
      </c>
      <c r="E103" s="14">
        <f>15.2-0.6</f>
        <v>14.6</v>
      </c>
      <c r="F103" s="14"/>
      <c r="G103" s="14">
        <v>0.6</v>
      </c>
    </row>
    <row r="104" spans="1:7" ht="12.75" customHeight="1" x14ac:dyDescent="0.25">
      <c r="A104" s="92"/>
      <c r="B104" s="13" t="s">
        <v>15</v>
      </c>
      <c r="C104" s="78" t="s">
        <v>29</v>
      </c>
      <c r="D104" s="14">
        <f t="shared" ref="D104:D165" si="2">SUM(G104+E104)</f>
        <v>20.399999999999999</v>
      </c>
      <c r="E104" s="14">
        <v>20.399999999999999</v>
      </c>
      <c r="F104" s="14"/>
      <c r="G104" s="14"/>
    </row>
    <row r="105" spans="1:7" ht="12.75" customHeight="1" x14ac:dyDescent="0.25">
      <c r="A105" s="92"/>
      <c r="B105" s="13" t="s">
        <v>19</v>
      </c>
      <c r="C105" s="79"/>
      <c r="D105" s="14">
        <f t="shared" si="2"/>
        <v>4</v>
      </c>
      <c r="E105" s="14">
        <v>4</v>
      </c>
      <c r="F105" s="14"/>
      <c r="G105" s="14"/>
    </row>
    <row r="106" spans="1:7" ht="12.75" customHeight="1" x14ac:dyDescent="0.25">
      <c r="A106" s="92"/>
      <c r="B106" s="13" t="s">
        <v>31</v>
      </c>
      <c r="C106" s="80"/>
      <c r="D106" s="14">
        <f t="shared" si="2"/>
        <v>8.5</v>
      </c>
      <c r="E106" s="14">
        <v>1.5</v>
      </c>
      <c r="F106" s="14"/>
      <c r="G106" s="14">
        <v>7</v>
      </c>
    </row>
    <row r="107" spans="1:7" ht="12.75" customHeight="1" x14ac:dyDescent="0.25">
      <c r="A107" s="92"/>
      <c r="B107" s="13" t="s">
        <v>31</v>
      </c>
      <c r="C107" s="72" t="s">
        <v>30</v>
      </c>
      <c r="D107" s="14">
        <f t="shared" si="2"/>
        <v>6.1</v>
      </c>
      <c r="E107" s="14">
        <f>6.1-0.7</f>
        <v>5.3999999999999995</v>
      </c>
      <c r="F107" s="29"/>
      <c r="G107" s="29">
        <v>0.7</v>
      </c>
    </row>
    <row r="108" spans="1:7" ht="15" customHeight="1" x14ac:dyDescent="0.25">
      <c r="A108" s="92" t="s">
        <v>52</v>
      </c>
      <c r="B108" s="24" t="s">
        <v>53</v>
      </c>
      <c r="C108" s="70"/>
      <c r="D108" s="26">
        <f t="shared" si="2"/>
        <v>39.700000000000003</v>
      </c>
      <c r="E108" s="26">
        <f>SUM(E109:E113)</f>
        <v>39.700000000000003</v>
      </c>
      <c r="F108" s="27">
        <f>SUM(F109:F113)</f>
        <v>0</v>
      </c>
      <c r="G108" s="27">
        <f>SUM(G109:G113)</f>
        <v>0</v>
      </c>
    </row>
    <row r="109" spans="1:7" ht="12.75" customHeight="1" x14ac:dyDescent="0.25">
      <c r="A109" s="92"/>
      <c r="B109" s="13" t="s">
        <v>15</v>
      </c>
      <c r="C109" s="72" t="s">
        <v>16</v>
      </c>
      <c r="D109" s="14">
        <f t="shared" si="2"/>
        <v>7.9</v>
      </c>
      <c r="E109" s="14">
        <v>7.9</v>
      </c>
      <c r="F109" s="14"/>
      <c r="G109" s="14"/>
    </row>
    <row r="110" spans="1:7" ht="12.75" customHeight="1" x14ac:dyDescent="0.25">
      <c r="A110" s="92"/>
      <c r="B110" s="13" t="s">
        <v>15</v>
      </c>
      <c r="C110" s="78" t="s">
        <v>29</v>
      </c>
      <c r="D110" s="14">
        <f t="shared" si="2"/>
        <v>8.6</v>
      </c>
      <c r="E110" s="14">
        <v>8.6</v>
      </c>
      <c r="F110" s="14"/>
      <c r="G110" s="14"/>
    </row>
    <row r="111" spans="1:7" ht="12.75" customHeight="1" x14ac:dyDescent="0.25">
      <c r="A111" s="92"/>
      <c r="B111" s="13" t="s">
        <v>19</v>
      </c>
      <c r="C111" s="79"/>
      <c r="D111" s="14">
        <f t="shared" si="2"/>
        <v>1.7</v>
      </c>
      <c r="E111" s="14">
        <v>1.7</v>
      </c>
      <c r="F111" s="14"/>
      <c r="G111" s="14"/>
    </row>
    <row r="112" spans="1:7" ht="12.75" customHeight="1" x14ac:dyDescent="0.25">
      <c r="A112" s="92"/>
      <c r="B112" s="13" t="s">
        <v>31</v>
      </c>
      <c r="C112" s="80"/>
      <c r="D112" s="14">
        <f t="shared" si="2"/>
        <v>14</v>
      </c>
      <c r="E112" s="14">
        <v>14</v>
      </c>
      <c r="F112" s="14"/>
      <c r="G112" s="14"/>
    </row>
    <row r="113" spans="1:7" ht="12.75" customHeight="1" x14ac:dyDescent="0.25">
      <c r="A113" s="92"/>
      <c r="B113" s="13" t="s">
        <v>31</v>
      </c>
      <c r="C113" s="72" t="s">
        <v>30</v>
      </c>
      <c r="D113" s="14">
        <f t="shared" si="2"/>
        <v>7.5</v>
      </c>
      <c r="E113" s="14">
        <v>7.5</v>
      </c>
      <c r="F113" s="29"/>
      <c r="G113" s="28"/>
    </row>
    <row r="114" spans="1:7" ht="15" customHeight="1" x14ac:dyDescent="0.25">
      <c r="A114" s="92" t="s">
        <v>54</v>
      </c>
      <c r="B114" s="24" t="s">
        <v>55</v>
      </c>
      <c r="C114" s="70"/>
      <c r="D114" s="26">
        <f t="shared" si="2"/>
        <v>19.700000000000003</v>
      </c>
      <c r="E114" s="26">
        <f>SUM(E115:E118)</f>
        <v>19.700000000000003</v>
      </c>
      <c r="F114" s="27">
        <f>SUM(F115:F118)</f>
        <v>0</v>
      </c>
      <c r="G114" s="27">
        <f>SUM(G115:G118)</f>
        <v>0</v>
      </c>
    </row>
    <row r="115" spans="1:7" ht="12.75" customHeight="1" x14ac:dyDescent="0.25">
      <c r="A115" s="92"/>
      <c r="B115" s="13" t="s">
        <v>15</v>
      </c>
      <c r="C115" s="72" t="s">
        <v>16</v>
      </c>
      <c r="D115" s="14">
        <f t="shared" si="2"/>
        <v>5.5</v>
      </c>
      <c r="E115" s="14">
        <v>5.5</v>
      </c>
      <c r="F115" s="14"/>
      <c r="G115" s="14"/>
    </row>
    <row r="116" spans="1:7" ht="12.75" customHeight="1" x14ac:dyDescent="0.25">
      <c r="A116" s="92"/>
      <c r="B116" s="13" t="s">
        <v>15</v>
      </c>
      <c r="C116" s="78" t="s">
        <v>29</v>
      </c>
      <c r="D116" s="14">
        <f t="shared" si="2"/>
        <v>9.3000000000000007</v>
      </c>
      <c r="E116" s="14">
        <v>9.3000000000000007</v>
      </c>
      <c r="F116" s="14"/>
      <c r="G116" s="14"/>
    </row>
    <row r="117" spans="1:7" ht="12.75" customHeight="1" x14ac:dyDescent="0.25">
      <c r="A117" s="92"/>
      <c r="B117" s="13" t="s">
        <v>19</v>
      </c>
      <c r="C117" s="80"/>
      <c r="D117" s="14">
        <f t="shared" si="2"/>
        <v>1.3</v>
      </c>
      <c r="E117" s="14">
        <v>1.3</v>
      </c>
      <c r="F117" s="14"/>
      <c r="G117" s="14"/>
    </row>
    <row r="118" spans="1:7" ht="12.75" customHeight="1" x14ac:dyDescent="0.25">
      <c r="A118" s="92"/>
      <c r="B118" s="13" t="s">
        <v>31</v>
      </c>
      <c r="C118" s="72" t="s">
        <v>30</v>
      </c>
      <c r="D118" s="14">
        <f t="shared" si="2"/>
        <v>3.6</v>
      </c>
      <c r="E118" s="14">
        <v>3.6</v>
      </c>
      <c r="F118" s="29"/>
      <c r="G118" s="28"/>
    </row>
    <row r="119" spans="1:7" ht="15" customHeight="1" x14ac:dyDescent="0.25">
      <c r="A119" s="91" t="s">
        <v>56</v>
      </c>
      <c r="B119" s="24" t="s">
        <v>57</v>
      </c>
      <c r="C119" s="25"/>
      <c r="D119" s="26">
        <f t="shared" si="2"/>
        <v>44.000000000000007</v>
      </c>
      <c r="E119" s="26">
        <f>SUM(E120:E125)</f>
        <v>23.900000000000006</v>
      </c>
      <c r="F119" s="27">
        <f>SUM(F120:F125)</f>
        <v>0</v>
      </c>
      <c r="G119" s="26">
        <f>SUM(G120:G125)</f>
        <v>20.100000000000001</v>
      </c>
    </row>
    <row r="120" spans="1:7" ht="12.75" customHeight="1" x14ac:dyDescent="0.25">
      <c r="A120" s="91"/>
      <c r="B120" s="13" t="s">
        <v>15</v>
      </c>
      <c r="C120" s="72" t="s">
        <v>16</v>
      </c>
      <c r="D120" s="14">
        <f t="shared" si="2"/>
        <v>8.4</v>
      </c>
      <c r="E120" s="14">
        <v>8.4</v>
      </c>
      <c r="F120" s="14"/>
      <c r="G120" s="14"/>
    </row>
    <row r="121" spans="1:7" ht="12.75" customHeight="1" x14ac:dyDescent="0.25">
      <c r="A121" s="91"/>
      <c r="B121" s="13" t="s">
        <v>15</v>
      </c>
      <c r="C121" s="76" t="s">
        <v>27</v>
      </c>
      <c r="D121" s="14">
        <f t="shared" si="2"/>
        <v>7</v>
      </c>
      <c r="E121" s="14"/>
      <c r="F121" s="14"/>
      <c r="G121" s="14">
        <v>7</v>
      </c>
    </row>
    <row r="122" spans="1:7" ht="12.75" customHeight="1" x14ac:dyDescent="0.25">
      <c r="A122" s="91"/>
      <c r="B122" s="13" t="s">
        <v>15</v>
      </c>
      <c r="C122" s="78" t="s">
        <v>29</v>
      </c>
      <c r="D122" s="14">
        <f t="shared" si="2"/>
        <v>7.7</v>
      </c>
      <c r="E122" s="14">
        <v>7.7</v>
      </c>
      <c r="F122" s="14"/>
      <c r="G122" s="14"/>
    </row>
    <row r="123" spans="1:7" ht="12.75" customHeight="1" x14ac:dyDescent="0.25">
      <c r="A123" s="91"/>
      <c r="B123" s="13" t="s">
        <v>19</v>
      </c>
      <c r="C123" s="79"/>
      <c r="D123" s="14">
        <f t="shared" si="2"/>
        <v>1.6</v>
      </c>
      <c r="E123" s="14">
        <v>1.6</v>
      </c>
      <c r="F123" s="14"/>
      <c r="G123" s="14"/>
    </row>
    <row r="124" spans="1:7" ht="12.75" customHeight="1" x14ac:dyDescent="0.25">
      <c r="A124" s="91"/>
      <c r="B124" s="13" t="s">
        <v>31</v>
      </c>
      <c r="C124" s="80"/>
      <c r="D124" s="14">
        <f t="shared" si="2"/>
        <v>13.3</v>
      </c>
      <c r="E124" s="14">
        <v>0.8</v>
      </c>
      <c r="F124" s="14"/>
      <c r="G124" s="14">
        <v>12.5</v>
      </c>
    </row>
    <row r="125" spans="1:7" ht="12.75" customHeight="1" x14ac:dyDescent="0.25">
      <c r="A125" s="91"/>
      <c r="B125" s="13" t="s">
        <v>31</v>
      </c>
      <c r="C125" s="72" t="s">
        <v>30</v>
      </c>
      <c r="D125" s="14">
        <f t="shared" si="2"/>
        <v>6</v>
      </c>
      <c r="E125" s="14">
        <f>6-0.6</f>
        <v>5.4</v>
      </c>
      <c r="F125" s="29"/>
      <c r="G125" s="29">
        <v>0.6</v>
      </c>
    </row>
    <row r="126" spans="1:7" ht="15" customHeight="1" x14ac:dyDescent="0.25">
      <c r="A126" s="91" t="s">
        <v>58</v>
      </c>
      <c r="B126" s="24" t="s">
        <v>59</v>
      </c>
      <c r="C126" s="70"/>
      <c r="D126" s="26">
        <f t="shared" si="2"/>
        <v>64.2</v>
      </c>
      <c r="E126" s="26">
        <f>SUM(E127:E132)</f>
        <v>57.7</v>
      </c>
      <c r="F126" s="27">
        <f>SUM(F127:F132)</f>
        <v>0</v>
      </c>
      <c r="G126" s="26">
        <f>SUM(G127:G132)</f>
        <v>6.5</v>
      </c>
    </row>
    <row r="127" spans="1:7" ht="12.75" customHeight="1" x14ac:dyDescent="0.25">
      <c r="A127" s="91"/>
      <c r="B127" s="13" t="s">
        <v>15</v>
      </c>
      <c r="C127" s="72" t="s">
        <v>16</v>
      </c>
      <c r="D127" s="14">
        <f t="shared" si="2"/>
        <v>17.3</v>
      </c>
      <c r="E127" s="14">
        <v>17.3</v>
      </c>
      <c r="F127" s="14"/>
      <c r="G127" s="14"/>
    </row>
    <row r="128" spans="1:7" ht="12.75" customHeight="1" x14ac:dyDescent="0.25">
      <c r="A128" s="91"/>
      <c r="B128" s="13" t="s">
        <v>15</v>
      </c>
      <c r="C128" s="76" t="s">
        <v>27</v>
      </c>
      <c r="D128" s="14">
        <f t="shared" si="2"/>
        <v>7</v>
      </c>
      <c r="E128" s="14">
        <v>0.5</v>
      </c>
      <c r="F128" s="14"/>
      <c r="G128" s="14">
        <v>6.5</v>
      </c>
    </row>
    <row r="129" spans="1:14" ht="12.75" customHeight="1" x14ac:dyDescent="0.25">
      <c r="A129" s="91"/>
      <c r="B129" s="13" t="s">
        <v>15</v>
      </c>
      <c r="C129" s="78" t="s">
        <v>29</v>
      </c>
      <c r="D129" s="14">
        <f t="shared" si="2"/>
        <v>11.7</v>
      </c>
      <c r="E129" s="14">
        <v>11.7</v>
      </c>
      <c r="F129" s="14"/>
      <c r="G129" s="14"/>
      <c r="H129" s="30"/>
      <c r="I129" s="31"/>
      <c r="J129" s="32"/>
      <c r="K129" s="33"/>
      <c r="L129" s="33"/>
      <c r="M129" s="33"/>
      <c r="N129" s="33"/>
    </row>
    <row r="130" spans="1:14" ht="12.75" customHeight="1" x14ac:dyDescent="0.25">
      <c r="A130" s="91"/>
      <c r="B130" s="13" t="s">
        <v>19</v>
      </c>
      <c r="C130" s="79"/>
      <c r="D130" s="14">
        <f t="shared" si="2"/>
        <v>6.7</v>
      </c>
      <c r="E130" s="14">
        <v>6.7</v>
      </c>
      <c r="F130" s="14"/>
      <c r="G130" s="14"/>
      <c r="H130" s="30"/>
      <c r="I130" s="34"/>
      <c r="J130" s="35"/>
      <c r="K130" s="36"/>
      <c r="L130" s="36"/>
      <c r="M130" s="36"/>
      <c r="N130" s="36"/>
    </row>
    <row r="131" spans="1:14" ht="12.75" customHeight="1" x14ac:dyDescent="0.25">
      <c r="A131" s="91"/>
      <c r="B131" s="13" t="s">
        <v>31</v>
      </c>
      <c r="C131" s="80"/>
      <c r="D131" s="14">
        <f t="shared" si="2"/>
        <v>17</v>
      </c>
      <c r="E131" s="14">
        <v>17</v>
      </c>
      <c r="F131" s="14"/>
      <c r="G131" s="14"/>
      <c r="H131" s="30"/>
      <c r="I131" s="34"/>
      <c r="J131" s="35"/>
      <c r="K131" s="36"/>
      <c r="L131" s="36"/>
      <c r="M131" s="36"/>
      <c r="N131" s="36"/>
    </row>
    <row r="132" spans="1:14" ht="12.75" customHeight="1" x14ac:dyDescent="0.25">
      <c r="A132" s="91"/>
      <c r="B132" s="13" t="s">
        <v>31</v>
      </c>
      <c r="C132" s="72" t="s">
        <v>30</v>
      </c>
      <c r="D132" s="14">
        <f t="shared" si="2"/>
        <v>4.5</v>
      </c>
      <c r="E132" s="14">
        <v>4.5</v>
      </c>
      <c r="F132" s="29"/>
      <c r="G132" s="28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91" t="s">
        <v>60</v>
      </c>
      <c r="B133" s="24" t="s">
        <v>61</v>
      </c>
      <c r="C133" s="70"/>
      <c r="D133" s="26">
        <f t="shared" si="2"/>
        <v>903.5</v>
      </c>
      <c r="E133" s="26">
        <f>SUM(E134:E135)</f>
        <v>903.5</v>
      </c>
      <c r="F133" s="26">
        <f>SUM(F134:F135)</f>
        <v>828.19999999999993</v>
      </c>
      <c r="G133" s="27">
        <f>SUM(G134:G135)</f>
        <v>0</v>
      </c>
      <c r="H133" s="30"/>
      <c r="I133" s="34"/>
      <c r="J133" s="35"/>
      <c r="K133" s="36"/>
      <c r="L133" s="36"/>
      <c r="M133" s="36"/>
      <c r="N133" s="36"/>
    </row>
    <row r="134" spans="1:14" ht="12.75" customHeight="1" x14ac:dyDescent="0.25">
      <c r="A134" s="91"/>
      <c r="B134" s="13" t="s">
        <v>15</v>
      </c>
      <c r="C134" s="78" t="s">
        <v>16</v>
      </c>
      <c r="D134" s="14">
        <f t="shared" si="2"/>
        <v>34.9</v>
      </c>
      <c r="E134" s="14">
        <v>34.9</v>
      </c>
      <c r="F134" s="14">
        <v>27.9</v>
      </c>
      <c r="G134" s="14"/>
      <c r="H134" s="30"/>
      <c r="I134" s="34"/>
      <c r="J134" s="35"/>
      <c r="K134" s="36"/>
      <c r="L134" s="36"/>
      <c r="M134" s="36"/>
      <c r="N134" s="36"/>
    </row>
    <row r="135" spans="1:14" ht="12.75" customHeight="1" x14ac:dyDescent="0.25">
      <c r="A135" s="91"/>
      <c r="B135" s="19" t="s">
        <v>20</v>
      </c>
      <c r="C135" s="80"/>
      <c r="D135" s="14">
        <f t="shared" si="2"/>
        <v>868.6</v>
      </c>
      <c r="E135" s="14">
        <v>868.6</v>
      </c>
      <c r="F135" s="14">
        <v>800.3</v>
      </c>
      <c r="G135" s="23"/>
      <c r="H135" s="30"/>
      <c r="I135" s="34"/>
      <c r="J135" s="35"/>
      <c r="K135" s="36"/>
      <c r="L135" s="36"/>
      <c r="M135" s="36"/>
      <c r="N135" s="36"/>
    </row>
    <row r="136" spans="1:14" ht="15" customHeight="1" x14ac:dyDescent="0.25">
      <c r="A136" s="91" t="s">
        <v>62</v>
      </c>
      <c r="B136" s="37" t="s">
        <v>63</v>
      </c>
      <c r="C136" s="25"/>
      <c r="D136" s="26">
        <f t="shared" si="2"/>
        <v>918.30000000000007</v>
      </c>
      <c r="E136" s="26">
        <f>SUM(E137:E141)</f>
        <v>914.7</v>
      </c>
      <c r="F136" s="26">
        <f>SUM(F137:F141)</f>
        <v>744.7</v>
      </c>
      <c r="G136" s="26">
        <f>SUM(G137:G141)</f>
        <v>3.6</v>
      </c>
      <c r="H136" s="30"/>
      <c r="I136" s="34"/>
      <c r="J136" s="35"/>
      <c r="K136" s="36"/>
      <c r="L136" s="36"/>
      <c r="M136" s="36"/>
      <c r="N136" s="36"/>
    </row>
    <row r="137" spans="1:14" ht="12.75" customHeight="1" x14ac:dyDescent="0.25">
      <c r="A137" s="91"/>
      <c r="B137" s="19" t="s">
        <v>20</v>
      </c>
      <c r="C137" s="72" t="s">
        <v>16</v>
      </c>
      <c r="D137" s="14">
        <f t="shared" si="2"/>
        <v>20</v>
      </c>
      <c r="E137" s="14">
        <v>20</v>
      </c>
      <c r="F137" s="14"/>
      <c r="G137" s="44"/>
      <c r="H137" s="30"/>
      <c r="I137" s="34"/>
      <c r="J137" s="35"/>
      <c r="K137" s="36"/>
      <c r="L137" s="36"/>
      <c r="M137" s="36"/>
      <c r="N137" s="36"/>
    </row>
    <row r="138" spans="1:14" ht="12.75" customHeight="1" x14ac:dyDescent="0.25">
      <c r="A138" s="91"/>
      <c r="B138" s="13" t="s">
        <v>15</v>
      </c>
      <c r="C138" s="78" t="s">
        <v>22</v>
      </c>
      <c r="D138" s="14">
        <f t="shared" si="2"/>
        <v>372.70000000000005</v>
      </c>
      <c r="E138" s="14">
        <v>369.1</v>
      </c>
      <c r="F138" s="14">
        <v>242.5</v>
      </c>
      <c r="G138" s="14">
        <v>3.6</v>
      </c>
      <c r="H138" s="30"/>
      <c r="I138" s="31"/>
      <c r="K138" s="33"/>
      <c r="L138" s="33"/>
      <c r="M138" s="33"/>
      <c r="N138" s="33"/>
    </row>
    <row r="139" spans="1:14" ht="12.75" customHeight="1" x14ac:dyDescent="0.25">
      <c r="A139" s="91"/>
      <c r="B139" s="13" t="s">
        <v>160</v>
      </c>
      <c r="C139" s="79"/>
      <c r="D139" s="14">
        <f t="shared" si="2"/>
        <v>520.20000000000005</v>
      </c>
      <c r="E139" s="14">
        <v>520.20000000000005</v>
      </c>
      <c r="F139" s="14">
        <v>501.6</v>
      </c>
      <c r="G139" s="23"/>
      <c r="H139" s="30"/>
      <c r="I139" s="31"/>
      <c r="J139" s="32"/>
      <c r="K139" s="33"/>
      <c r="L139" s="33"/>
      <c r="M139" s="33"/>
      <c r="N139" s="33"/>
    </row>
    <row r="140" spans="1:14" ht="12.75" customHeight="1" x14ac:dyDescent="0.25">
      <c r="A140" s="91"/>
      <c r="B140" s="13" t="s">
        <v>117</v>
      </c>
      <c r="C140" s="79"/>
      <c r="D140" s="14">
        <f t="shared" si="2"/>
        <v>3</v>
      </c>
      <c r="E140" s="14">
        <f>0.6+2.4</f>
        <v>3</v>
      </c>
      <c r="F140" s="14">
        <v>0.6</v>
      </c>
      <c r="G140" s="23"/>
      <c r="H140" s="30"/>
      <c r="I140" s="31"/>
      <c r="J140" s="32"/>
      <c r="K140" s="33"/>
      <c r="L140" s="33"/>
      <c r="M140" s="33"/>
      <c r="N140" s="33"/>
    </row>
    <row r="141" spans="1:14" ht="12.75" customHeight="1" x14ac:dyDescent="0.25">
      <c r="A141" s="91"/>
      <c r="B141" s="13" t="s">
        <v>19</v>
      </c>
      <c r="C141" s="80"/>
      <c r="D141" s="14">
        <f t="shared" si="2"/>
        <v>2.4</v>
      </c>
      <c r="E141" s="14">
        <v>2.4</v>
      </c>
      <c r="F141" s="23"/>
      <c r="G141" s="23"/>
      <c r="H141" s="30"/>
      <c r="I141" s="34"/>
      <c r="J141" s="35"/>
      <c r="K141" s="36"/>
      <c r="L141" s="36"/>
      <c r="M141" s="36"/>
      <c r="N141" s="36"/>
    </row>
    <row r="142" spans="1:14" ht="15" customHeight="1" x14ac:dyDescent="0.25">
      <c r="A142" s="91" t="s">
        <v>64</v>
      </c>
      <c r="B142" s="37" t="s">
        <v>65</v>
      </c>
      <c r="C142" s="70"/>
      <c r="D142" s="26">
        <f t="shared" si="2"/>
        <v>632.80000000000007</v>
      </c>
      <c r="E142" s="26">
        <f>SUM(E143:E146)</f>
        <v>617.70000000000005</v>
      </c>
      <c r="F142" s="26">
        <f>SUM(F143:F146)</f>
        <v>498.4</v>
      </c>
      <c r="G142" s="26">
        <f>SUM(G143:G146)</f>
        <v>15.1</v>
      </c>
      <c r="H142" s="30"/>
      <c r="I142" s="34"/>
      <c r="J142" s="39"/>
      <c r="K142" s="40"/>
      <c r="L142" s="41"/>
      <c r="M142" s="41"/>
      <c r="N142" s="36"/>
    </row>
    <row r="143" spans="1:14" ht="12.75" customHeight="1" x14ac:dyDescent="0.25">
      <c r="A143" s="91"/>
      <c r="B143" s="19" t="s">
        <v>20</v>
      </c>
      <c r="C143" s="72" t="s">
        <v>16</v>
      </c>
      <c r="D143" s="14">
        <f t="shared" si="2"/>
        <v>15</v>
      </c>
      <c r="E143" s="14">
        <v>15</v>
      </c>
      <c r="F143" s="14"/>
      <c r="G143" s="44"/>
      <c r="H143" s="30"/>
      <c r="I143" s="34"/>
      <c r="J143" s="39"/>
      <c r="K143" s="40"/>
      <c r="L143" s="42"/>
      <c r="M143" s="42"/>
      <c r="N143" s="36"/>
    </row>
    <row r="144" spans="1:14" ht="12.75" customHeight="1" x14ac:dyDescent="0.25">
      <c r="A144" s="91"/>
      <c r="B144" s="13" t="s">
        <v>15</v>
      </c>
      <c r="C144" s="78" t="s">
        <v>22</v>
      </c>
      <c r="D144" s="14">
        <f t="shared" si="2"/>
        <v>260.7</v>
      </c>
      <c r="E144" s="14">
        <v>245.6</v>
      </c>
      <c r="F144" s="14">
        <v>152.9</v>
      </c>
      <c r="G144" s="14">
        <v>15.1</v>
      </c>
      <c r="H144" s="30"/>
      <c r="I144" s="34"/>
      <c r="J144" s="39"/>
      <c r="K144" s="40"/>
      <c r="L144" s="41"/>
      <c r="M144" s="41"/>
      <c r="N144" s="36"/>
    </row>
    <row r="145" spans="1:14" ht="12.75" customHeight="1" x14ac:dyDescent="0.25">
      <c r="A145" s="91"/>
      <c r="B145" s="13" t="s">
        <v>160</v>
      </c>
      <c r="C145" s="79"/>
      <c r="D145" s="14">
        <f t="shared" si="2"/>
        <v>356.6</v>
      </c>
      <c r="E145" s="14">
        <v>356.6</v>
      </c>
      <c r="F145" s="14">
        <v>345.5</v>
      </c>
      <c r="G145" s="23"/>
      <c r="H145" s="30"/>
      <c r="I145" s="31"/>
      <c r="J145" s="39"/>
      <c r="K145" s="40"/>
      <c r="L145" s="42"/>
      <c r="M145" s="42"/>
      <c r="N145" s="33"/>
    </row>
    <row r="146" spans="1:14" ht="12.75" customHeight="1" x14ac:dyDescent="0.25">
      <c r="A146" s="91"/>
      <c r="B146" s="13" t="s">
        <v>19</v>
      </c>
      <c r="C146" s="80"/>
      <c r="D146" s="14">
        <f t="shared" si="2"/>
        <v>0.5</v>
      </c>
      <c r="E146" s="14">
        <v>0.5</v>
      </c>
      <c r="F146" s="14"/>
      <c r="G146" s="23"/>
      <c r="H146" s="30"/>
      <c r="I146" s="34"/>
      <c r="J146" s="39"/>
      <c r="K146" s="40"/>
      <c r="L146" s="41"/>
      <c r="M146" s="41"/>
      <c r="N146" s="36"/>
    </row>
    <row r="147" spans="1:14" ht="15" customHeight="1" x14ac:dyDescent="0.25">
      <c r="A147" s="81" t="s">
        <v>66</v>
      </c>
      <c r="B147" s="37" t="s">
        <v>67</v>
      </c>
      <c r="C147" s="70"/>
      <c r="D147" s="26">
        <f t="shared" si="2"/>
        <v>924.9</v>
      </c>
      <c r="E147" s="26">
        <f>SUM(E148:E152)</f>
        <v>923.69999999999993</v>
      </c>
      <c r="F147" s="26">
        <f>SUM(F148:F152)</f>
        <v>727.59999999999991</v>
      </c>
      <c r="G147" s="26">
        <f>SUM(G148:G153)</f>
        <v>1.2</v>
      </c>
      <c r="H147" s="30"/>
      <c r="I147" s="34"/>
      <c r="J147" s="39"/>
      <c r="K147" s="40"/>
      <c r="L147" s="41"/>
      <c r="M147" s="41"/>
      <c r="N147" s="36"/>
    </row>
    <row r="148" spans="1:14" ht="12.75" customHeight="1" x14ac:dyDescent="0.25">
      <c r="A148" s="82"/>
      <c r="B148" s="19" t="s">
        <v>20</v>
      </c>
      <c r="C148" s="72" t="s">
        <v>16</v>
      </c>
      <c r="D148" s="14">
        <f t="shared" si="2"/>
        <v>27</v>
      </c>
      <c r="E148" s="14">
        <v>27</v>
      </c>
      <c r="F148" s="14"/>
      <c r="G148" s="38"/>
      <c r="H148" s="41"/>
      <c r="I148" s="43"/>
      <c r="J148" s="39"/>
      <c r="K148" s="40"/>
      <c r="L148" s="41"/>
      <c r="M148" s="41"/>
      <c r="N148" s="41"/>
    </row>
    <row r="149" spans="1:14" ht="12.75" customHeight="1" x14ac:dyDescent="0.25">
      <c r="A149" s="82"/>
      <c r="B149" s="13" t="s">
        <v>15</v>
      </c>
      <c r="C149" s="78" t="s">
        <v>22</v>
      </c>
      <c r="D149" s="14">
        <f t="shared" si="2"/>
        <v>362.3</v>
      </c>
      <c r="E149" s="14">
        <v>362.3</v>
      </c>
      <c r="F149" s="14">
        <v>229.2</v>
      </c>
      <c r="G149" s="23"/>
      <c r="J149" s="39"/>
      <c r="K149" s="40"/>
      <c r="L149" s="41"/>
      <c r="M149" s="41"/>
    </row>
    <row r="150" spans="1:14" ht="12.75" customHeight="1" x14ac:dyDescent="0.25">
      <c r="A150" s="82"/>
      <c r="B150" s="13" t="s">
        <v>160</v>
      </c>
      <c r="C150" s="79"/>
      <c r="D150" s="14">
        <f t="shared" si="2"/>
        <v>517.5</v>
      </c>
      <c r="E150" s="14">
        <v>517.5</v>
      </c>
      <c r="F150" s="14">
        <v>497.9</v>
      </c>
      <c r="G150" s="23"/>
      <c r="J150" s="39"/>
      <c r="K150" s="40"/>
      <c r="L150" s="41"/>
      <c r="M150" s="41"/>
    </row>
    <row r="151" spans="1:14" ht="12.75" customHeight="1" x14ac:dyDescent="0.25">
      <c r="A151" s="82"/>
      <c r="B151" s="13" t="s">
        <v>117</v>
      </c>
      <c r="C151" s="79"/>
      <c r="D151" s="14">
        <f t="shared" si="2"/>
        <v>0.5</v>
      </c>
      <c r="E151" s="14">
        <v>0.5</v>
      </c>
      <c r="F151" s="14">
        <v>0.5</v>
      </c>
      <c r="G151" s="23"/>
      <c r="J151" s="39"/>
      <c r="K151" s="40"/>
      <c r="L151" s="41"/>
      <c r="M151" s="41"/>
    </row>
    <row r="152" spans="1:14" ht="12.75" customHeight="1" x14ac:dyDescent="0.25">
      <c r="A152" s="82"/>
      <c r="B152" s="13" t="s">
        <v>19</v>
      </c>
      <c r="C152" s="80"/>
      <c r="D152" s="14">
        <f t="shared" si="2"/>
        <v>16.399999999999999</v>
      </c>
      <c r="E152" s="14">
        <v>16.399999999999999</v>
      </c>
      <c r="F152" s="23"/>
      <c r="G152" s="23"/>
      <c r="J152" s="39"/>
      <c r="K152" s="40"/>
      <c r="L152" s="41"/>
      <c r="M152" s="41"/>
    </row>
    <row r="153" spans="1:14" ht="12.75" customHeight="1" x14ac:dyDescent="0.25">
      <c r="A153" s="83"/>
      <c r="B153" s="13" t="s">
        <v>15</v>
      </c>
      <c r="C153" s="74" t="s">
        <v>29</v>
      </c>
      <c r="D153" s="14">
        <f t="shared" si="2"/>
        <v>1.2</v>
      </c>
      <c r="E153" s="14"/>
      <c r="F153" s="23"/>
      <c r="G153" s="14">
        <v>1.2</v>
      </c>
      <c r="J153" s="39"/>
      <c r="K153" s="40"/>
      <c r="L153" s="41"/>
      <c r="M153" s="41"/>
    </row>
    <row r="154" spans="1:14" ht="15" customHeight="1" x14ac:dyDescent="0.25">
      <c r="A154" s="81" t="s">
        <v>68</v>
      </c>
      <c r="B154" s="37" t="s">
        <v>69</v>
      </c>
      <c r="C154" s="71"/>
      <c r="D154" s="26">
        <f t="shared" si="2"/>
        <v>809.3</v>
      </c>
      <c r="E154" s="26">
        <f>SUM(E155:E158)</f>
        <v>766.4</v>
      </c>
      <c r="F154" s="26">
        <f>SUM(F155:F158)</f>
        <v>639.20000000000005</v>
      </c>
      <c r="G154" s="26">
        <f>SUM(G155:G158)</f>
        <v>42.9</v>
      </c>
      <c r="J154" s="39"/>
      <c r="K154" s="40"/>
      <c r="L154" s="42"/>
      <c r="M154" s="42"/>
    </row>
    <row r="155" spans="1:14" ht="12.75" customHeight="1" x14ac:dyDescent="0.25">
      <c r="A155" s="81"/>
      <c r="B155" s="19" t="s">
        <v>20</v>
      </c>
      <c r="C155" s="69" t="s">
        <v>16</v>
      </c>
      <c r="D155" s="14">
        <f t="shared" si="2"/>
        <v>18</v>
      </c>
      <c r="E155" s="14">
        <v>18</v>
      </c>
      <c r="F155" s="14"/>
      <c r="G155" s="44"/>
      <c r="J155" s="39"/>
      <c r="K155" s="40"/>
      <c r="L155" s="42"/>
      <c r="M155" s="42"/>
    </row>
    <row r="156" spans="1:14" ht="12.75" customHeight="1" x14ac:dyDescent="0.25">
      <c r="A156" s="81"/>
      <c r="B156" s="13" t="s">
        <v>15</v>
      </c>
      <c r="C156" s="78" t="s">
        <v>22</v>
      </c>
      <c r="D156" s="14">
        <f t="shared" si="2"/>
        <v>384.9</v>
      </c>
      <c r="E156" s="14">
        <f>340+2</f>
        <v>342</v>
      </c>
      <c r="F156" s="14">
        <v>248.5</v>
      </c>
      <c r="G156" s="14">
        <v>42.9</v>
      </c>
      <c r="J156" s="39"/>
      <c r="K156" s="40"/>
      <c r="L156" s="42"/>
      <c r="M156" s="42"/>
    </row>
    <row r="157" spans="1:14" ht="12.75" customHeight="1" x14ac:dyDescent="0.25">
      <c r="A157" s="81"/>
      <c r="B157" s="13" t="s">
        <v>160</v>
      </c>
      <c r="C157" s="79"/>
      <c r="D157" s="14">
        <f t="shared" si="2"/>
        <v>404</v>
      </c>
      <c r="E157" s="14">
        <v>404</v>
      </c>
      <c r="F157" s="14">
        <v>390.7</v>
      </c>
      <c r="G157" s="23"/>
      <c r="J157" s="39"/>
      <c r="K157" s="40"/>
      <c r="L157" s="42"/>
      <c r="M157" s="42"/>
    </row>
    <row r="158" spans="1:14" ht="12.75" customHeight="1" x14ac:dyDescent="0.25">
      <c r="A158" s="81"/>
      <c r="B158" s="13" t="s">
        <v>19</v>
      </c>
      <c r="C158" s="80"/>
      <c r="D158" s="14">
        <f t="shared" si="2"/>
        <v>2.4</v>
      </c>
      <c r="E158" s="14">
        <v>2.4</v>
      </c>
      <c r="F158" s="23"/>
      <c r="G158" s="23"/>
      <c r="J158" s="39"/>
      <c r="K158" s="40"/>
      <c r="L158" s="42"/>
      <c r="M158" s="42"/>
    </row>
    <row r="159" spans="1:14" ht="15" customHeight="1" x14ac:dyDescent="0.25">
      <c r="A159" s="91" t="s">
        <v>70</v>
      </c>
      <c r="B159" s="37" t="s">
        <v>71</v>
      </c>
      <c r="C159" s="71"/>
      <c r="D159" s="26">
        <f t="shared" si="2"/>
        <v>1193.4000000000001</v>
      </c>
      <c r="E159" s="26">
        <f>SUM(E160:E163)</f>
        <v>1193.4000000000001</v>
      </c>
      <c r="F159" s="26">
        <f>SUM(F160:F163)</f>
        <v>972.2</v>
      </c>
      <c r="G159" s="27">
        <f>SUM(G160:G163)</f>
        <v>0</v>
      </c>
      <c r="J159" s="39"/>
      <c r="K159" s="40"/>
      <c r="L159" s="42"/>
      <c r="M159" s="42"/>
    </row>
    <row r="160" spans="1:14" ht="12.75" customHeight="1" x14ac:dyDescent="0.25">
      <c r="A160" s="91"/>
      <c r="B160" s="19" t="s">
        <v>20</v>
      </c>
      <c r="C160" s="69" t="s">
        <v>16</v>
      </c>
      <c r="D160" s="14">
        <f t="shared" si="2"/>
        <v>36</v>
      </c>
      <c r="E160" s="14">
        <v>36</v>
      </c>
      <c r="F160" s="14"/>
      <c r="G160" s="38"/>
      <c r="J160" s="39"/>
      <c r="K160" s="40"/>
      <c r="L160" s="42"/>
      <c r="M160" s="42"/>
    </row>
    <row r="161" spans="1:14" ht="12.75" customHeight="1" x14ac:dyDescent="0.25">
      <c r="A161" s="91"/>
      <c r="B161" s="13" t="s">
        <v>15</v>
      </c>
      <c r="C161" s="84" t="s">
        <v>22</v>
      </c>
      <c r="D161" s="14">
        <f t="shared" si="2"/>
        <v>463.1</v>
      </c>
      <c r="E161" s="14">
        <v>463.1</v>
      </c>
      <c r="F161" s="14">
        <v>305.60000000000002</v>
      </c>
      <c r="G161" s="23"/>
      <c r="J161" s="39"/>
      <c r="K161" s="40"/>
      <c r="L161" s="42"/>
      <c r="M161" s="42"/>
    </row>
    <row r="162" spans="1:14" ht="12.75" customHeight="1" x14ac:dyDescent="0.25">
      <c r="A162" s="91"/>
      <c r="B162" s="13" t="s">
        <v>160</v>
      </c>
      <c r="C162" s="85"/>
      <c r="D162" s="14">
        <f t="shared" si="2"/>
        <v>689.8</v>
      </c>
      <c r="E162" s="14">
        <v>689.8</v>
      </c>
      <c r="F162" s="14">
        <v>666.6</v>
      </c>
      <c r="G162" s="23"/>
      <c r="J162" s="39"/>
      <c r="K162" s="40"/>
      <c r="L162" s="42"/>
      <c r="M162" s="42"/>
    </row>
    <row r="163" spans="1:14" ht="12.75" customHeight="1" x14ac:dyDescent="0.25">
      <c r="A163" s="91"/>
      <c r="B163" s="13" t="s">
        <v>19</v>
      </c>
      <c r="C163" s="86"/>
      <c r="D163" s="14">
        <f t="shared" si="2"/>
        <v>4.5</v>
      </c>
      <c r="E163" s="14">
        <v>4.5</v>
      </c>
      <c r="F163" s="23"/>
      <c r="G163" s="23"/>
      <c r="J163" s="39"/>
      <c r="K163" s="40"/>
      <c r="L163" s="41"/>
      <c r="M163" s="41"/>
    </row>
    <row r="164" spans="1:14" ht="15" customHeight="1" x14ac:dyDescent="0.25">
      <c r="A164" s="81" t="s">
        <v>72</v>
      </c>
      <c r="B164" s="37" t="s">
        <v>73</v>
      </c>
      <c r="C164" s="25"/>
      <c r="D164" s="26">
        <f t="shared" si="2"/>
        <v>1020.8</v>
      </c>
      <c r="E164" s="26">
        <f t="shared" ref="E164:F164" si="3">SUM(E165:E170)</f>
        <v>1020.4</v>
      </c>
      <c r="F164" s="26">
        <f t="shared" si="3"/>
        <v>791.90000000000009</v>
      </c>
      <c r="G164" s="26">
        <f>SUM(G165:G170)</f>
        <v>0.4</v>
      </c>
      <c r="J164" s="39"/>
      <c r="K164" s="40"/>
      <c r="L164" s="41"/>
      <c r="M164" s="41"/>
    </row>
    <row r="165" spans="1:14" ht="12.75" customHeight="1" x14ac:dyDescent="0.25">
      <c r="A165" s="82"/>
      <c r="B165" s="19" t="s">
        <v>20</v>
      </c>
      <c r="C165" s="69" t="s">
        <v>16</v>
      </c>
      <c r="D165" s="14">
        <f t="shared" si="2"/>
        <v>35</v>
      </c>
      <c r="E165" s="14">
        <v>35</v>
      </c>
      <c r="F165" s="14"/>
      <c r="G165" s="44"/>
      <c r="I165" s="43"/>
      <c r="J165" s="39"/>
      <c r="K165" s="40"/>
      <c r="L165" s="41"/>
      <c r="M165" s="41"/>
      <c r="N165" s="41"/>
    </row>
    <row r="166" spans="1:14" ht="12.75" customHeight="1" x14ac:dyDescent="0.25">
      <c r="A166" s="82"/>
      <c r="B166" s="13" t="s">
        <v>15</v>
      </c>
      <c r="C166" s="78" t="s">
        <v>22</v>
      </c>
      <c r="D166" s="14">
        <f t="shared" ref="D166:D188" si="4">SUM(G166+E166)</f>
        <v>435.8</v>
      </c>
      <c r="E166" s="14">
        <f>426.2+9.6</f>
        <v>435.8</v>
      </c>
      <c r="F166" s="14">
        <v>282.10000000000002</v>
      </c>
      <c r="G166" s="14"/>
      <c r="I166" s="43"/>
      <c r="J166" s="39"/>
      <c r="K166" s="40"/>
      <c r="L166" s="41"/>
      <c r="M166" s="41"/>
      <c r="N166" s="41"/>
    </row>
    <row r="167" spans="1:14" ht="12.75" customHeight="1" x14ac:dyDescent="0.25">
      <c r="A167" s="82"/>
      <c r="B167" s="13" t="s">
        <v>160</v>
      </c>
      <c r="C167" s="79"/>
      <c r="D167" s="14">
        <f t="shared" si="4"/>
        <v>528.70000000000005</v>
      </c>
      <c r="E167" s="14">
        <v>528.70000000000005</v>
      </c>
      <c r="F167" s="14">
        <v>509.8</v>
      </c>
      <c r="G167" s="14"/>
      <c r="I167" s="43"/>
      <c r="J167" s="39"/>
      <c r="K167" s="40"/>
      <c r="L167" s="41"/>
      <c r="M167" s="41"/>
      <c r="N167" s="41"/>
    </row>
    <row r="168" spans="1:14" ht="12.75" customHeight="1" x14ac:dyDescent="0.25">
      <c r="A168" s="82"/>
      <c r="B168" s="13" t="s">
        <v>117</v>
      </c>
      <c r="C168" s="79"/>
      <c r="D168" s="14">
        <f t="shared" si="4"/>
        <v>6.1</v>
      </c>
      <c r="E168" s="14">
        <v>6.1</v>
      </c>
      <c r="F168" s="14"/>
      <c r="G168" s="14"/>
      <c r="I168" s="43"/>
      <c r="J168" s="39"/>
      <c r="K168" s="40"/>
      <c r="L168" s="41"/>
      <c r="M168" s="41"/>
      <c r="N168" s="41"/>
    </row>
    <row r="169" spans="1:14" ht="12.75" customHeight="1" x14ac:dyDescent="0.25">
      <c r="A169" s="82"/>
      <c r="B169" s="13" t="s">
        <v>19</v>
      </c>
      <c r="C169" s="80"/>
      <c r="D169" s="14">
        <f t="shared" si="4"/>
        <v>14.8</v>
      </c>
      <c r="E169" s="14">
        <v>14.8</v>
      </c>
      <c r="F169" s="23"/>
      <c r="G169" s="23"/>
      <c r="I169" s="43"/>
      <c r="J169" s="39"/>
      <c r="K169" s="40"/>
      <c r="L169" s="41"/>
      <c r="M169" s="41"/>
      <c r="N169" s="41"/>
    </row>
    <row r="170" spans="1:14" ht="12.75" customHeight="1" x14ac:dyDescent="0.25">
      <c r="A170" s="83"/>
      <c r="B170" s="13" t="s">
        <v>15</v>
      </c>
      <c r="C170" s="74" t="s">
        <v>29</v>
      </c>
      <c r="D170" s="14">
        <f t="shared" si="4"/>
        <v>0.4</v>
      </c>
      <c r="E170" s="14"/>
      <c r="F170" s="23"/>
      <c r="G170" s="14">
        <v>0.4</v>
      </c>
      <c r="I170" s="43"/>
      <c r="J170" s="39"/>
      <c r="K170" s="40"/>
      <c r="L170" s="41"/>
      <c r="M170" s="41"/>
      <c r="N170" s="41"/>
    </row>
    <row r="171" spans="1:14" ht="15" customHeight="1" x14ac:dyDescent="0.25">
      <c r="A171" s="91" t="s">
        <v>74</v>
      </c>
      <c r="B171" s="37" t="s">
        <v>75</v>
      </c>
      <c r="C171" s="70"/>
      <c r="D171" s="26">
        <f t="shared" si="4"/>
        <v>1611.5</v>
      </c>
      <c r="E171" s="26">
        <f>SUM(E172:E178)</f>
        <v>1576.8</v>
      </c>
      <c r="F171" s="26">
        <f>SUM(F172:F178)</f>
        <v>1223.6999999999998</v>
      </c>
      <c r="G171" s="26">
        <f>SUM(G172:G178)</f>
        <v>34.700000000000003</v>
      </c>
      <c r="I171" s="43"/>
      <c r="J171" s="39"/>
      <c r="K171" s="40"/>
      <c r="L171" s="41"/>
      <c r="M171" s="41"/>
      <c r="N171" s="41"/>
    </row>
    <row r="172" spans="1:14" ht="12.75" customHeight="1" x14ac:dyDescent="0.25">
      <c r="A172" s="91"/>
      <c r="B172" s="19" t="s">
        <v>20</v>
      </c>
      <c r="C172" s="72" t="s">
        <v>16</v>
      </c>
      <c r="D172" s="14">
        <f t="shared" si="4"/>
        <v>25</v>
      </c>
      <c r="E172" s="14">
        <v>25</v>
      </c>
      <c r="F172" s="14"/>
      <c r="G172" s="38"/>
      <c r="I172" s="43"/>
      <c r="J172" s="39"/>
      <c r="K172" s="40"/>
      <c r="L172" s="41"/>
      <c r="M172" s="41"/>
      <c r="N172" s="41"/>
    </row>
    <row r="173" spans="1:14" ht="12.75" customHeight="1" x14ac:dyDescent="0.25">
      <c r="A173" s="91"/>
      <c r="B173" s="13" t="s">
        <v>21</v>
      </c>
      <c r="C173" s="78" t="s">
        <v>22</v>
      </c>
      <c r="D173" s="14">
        <f t="shared" si="4"/>
        <v>64.900000000000006</v>
      </c>
      <c r="E173" s="14">
        <v>64.900000000000006</v>
      </c>
      <c r="F173" s="14"/>
      <c r="G173" s="38"/>
      <c r="I173" s="43"/>
      <c r="J173" s="39"/>
      <c r="K173" s="40"/>
      <c r="L173" s="41"/>
      <c r="M173" s="41"/>
      <c r="N173" s="41"/>
    </row>
    <row r="174" spans="1:14" ht="12.75" customHeight="1" x14ac:dyDescent="0.25">
      <c r="A174" s="91"/>
      <c r="B174" s="13" t="s">
        <v>15</v>
      </c>
      <c r="C174" s="79"/>
      <c r="D174" s="14">
        <f t="shared" si="4"/>
        <v>473.5</v>
      </c>
      <c r="E174" s="14">
        <v>463.5</v>
      </c>
      <c r="F174" s="14">
        <v>257.89999999999998</v>
      </c>
      <c r="G174" s="14">
        <v>10</v>
      </c>
      <c r="I174" s="43"/>
      <c r="J174" s="39"/>
      <c r="K174" s="40"/>
      <c r="L174" s="41"/>
      <c r="M174" s="41"/>
      <c r="N174" s="41"/>
    </row>
    <row r="175" spans="1:14" ht="12.75" customHeight="1" x14ac:dyDescent="0.25">
      <c r="A175" s="91"/>
      <c r="B175" s="13" t="s">
        <v>160</v>
      </c>
      <c r="C175" s="79"/>
      <c r="D175" s="14">
        <f t="shared" si="4"/>
        <v>1002.4</v>
      </c>
      <c r="E175" s="14">
        <v>1002.4</v>
      </c>
      <c r="F175" s="14">
        <v>965.2</v>
      </c>
      <c r="G175" s="23"/>
      <c r="I175" s="43"/>
      <c r="J175" s="39"/>
      <c r="K175" s="40"/>
      <c r="L175" s="42"/>
      <c r="M175" s="42"/>
      <c r="N175" s="41"/>
    </row>
    <row r="176" spans="1:14" ht="12.75" customHeight="1" x14ac:dyDescent="0.25">
      <c r="A176" s="91"/>
      <c r="B176" s="13" t="s">
        <v>25</v>
      </c>
      <c r="C176" s="79"/>
      <c r="D176" s="14">
        <f t="shared" si="4"/>
        <v>24.7</v>
      </c>
      <c r="E176" s="14"/>
      <c r="F176" s="14"/>
      <c r="G176" s="14">
        <v>24.7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91"/>
      <c r="B177" s="13" t="s">
        <v>117</v>
      </c>
      <c r="C177" s="79"/>
      <c r="D177" s="14">
        <f t="shared" si="4"/>
        <v>17.600000000000001</v>
      </c>
      <c r="E177" s="14">
        <f>0.6+17</f>
        <v>17.600000000000001</v>
      </c>
      <c r="F177" s="14">
        <v>0.6</v>
      </c>
      <c r="G177" s="1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91"/>
      <c r="B178" s="13" t="s">
        <v>19</v>
      </c>
      <c r="C178" s="80"/>
      <c r="D178" s="14">
        <f t="shared" si="4"/>
        <v>3.4</v>
      </c>
      <c r="E178" s="14">
        <v>3.4</v>
      </c>
      <c r="F178" s="23"/>
      <c r="G178" s="23"/>
      <c r="I178" s="43"/>
      <c r="J178" s="39"/>
      <c r="K178" s="40"/>
      <c r="L178" s="42"/>
      <c r="M178" s="42"/>
      <c r="N178" s="41"/>
    </row>
    <row r="179" spans="1:14" ht="15" customHeight="1" x14ac:dyDescent="0.25">
      <c r="A179" s="91" t="s">
        <v>76</v>
      </c>
      <c r="B179" s="24" t="s">
        <v>77</v>
      </c>
      <c r="C179" s="70"/>
      <c r="D179" s="26">
        <f t="shared" si="4"/>
        <v>369.8</v>
      </c>
      <c r="E179" s="26">
        <f>SUM(E180:E183)</f>
        <v>369.8</v>
      </c>
      <c r="F179" s="26">
        <f>SUM(F180:F183)</f>
        <v>225</v>
      </c>
      <c r="G179" s="27">
        <f>SUM(G180:G183)</f>
        <v>0</v>
      </c>
      <c r="I179" s="43"/>
      <c r="J179" s="39"/>
      <c r="K179" s="40"/>
      <c r="L179" s="42"/>
      <c r="M179" s="42"/>
      <c r="N179" s="41"/>
    </row>
    <row r="180" spans="1:14" ht="12.75" customHeight="1" x14ac:dyDescent="0.25">
      <c r="A180" s="91"/>
      <c r="B180" s="19" t="s">
        <v>20</v>
      </c>
      <c r="C180" s="72" t="s">
        <v>16</v>
      </c>
      <c r="D180" s="14">
        <f t="shared" si="4"/>
        <v>4.0999999999999996</v>
      </c>
      <c r="E180" s="14">
        <v>4.0999999999999996</v>
      </c>
      <c r="F180" s="14"/>
      <c r="G180" s="38"/>
      <c r="I180" s="43"/>
      <c r="J180" s="39"/>
      <c r="K180" s="40"/>
      <c r="L180" s="42"/>
      <c r="M180" s="42"/>
      <c r="N180" s="41"/>
    </row>
    <row r="181" spans="1:14" ht="12.75" customHeight="1" x14ac:dyDescent="0.25">
      <c r="A181" s="91"/>
      <c r="B181" s="13" t="s">
        <v>15</v>
      </c>
      <c r="C181" s="78" t="s">
        <v>22</v>
      </c>
      <c r="D181" s="14">
        <f t="shared" si="4"/>
        <v>186</v>
      </c>
      <c r="E181" s="14">
        <f>189-3</f>
        <v>186</v>
      </c>
      <c r="F181" s="14">
        <f>146.2-50.2</f>
        <v>95.999999999999986</v>
      </c>
      <c r="G181" s="23"/>
      <c r="I181" s="43"/>
      <c r="J181" s="39"/>
      <c r="K181" s="40"/>
      <c r="L181" s="42"/>
      <c r="M181" s="42"/>
      <c r="N181" s="41"/>
    </row>
    <row r="182" spans="1:14" ht="12.75" customHeight="1" x14ac:dyDescent="0.25">
      <c r="A182" s="91"/>
      <c r="B182" s="13" t="s">
        <v>160</v>
      </c>
      <c r="C182" s="79"/>
      <c r="D182" s="14">
        <f t="shared" si="4"/>
        <v>177.9</v>
      </c>
      <c r="E182" s="14">
        <f>177.9-44.1+44.1</f>
        <v>177.9</v>
      </c>
      <c r="F182" s="14">
        <f>173.1-44.1</f>
        <v>129</v>
      </c>
      <c r="G182" s="23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91"/>
      <c r="B183" s="13" t="s">
        <v>19</v>
      </c>
      <c r="C183" s="80"/>
      <c r="D183" s="14">
        <f t="shared" si="4"/>
        <v>1.7999999999999998</v>
      </c>
      <c r="E183" s="14">
        <f>7-5.2</f>
        <v>1.7999999999999998</v>
      </c>
      <c r="F183" s="14"/>
      <c r="G183" s="23"/>
      <c r="I183" s="43"/>
      <c r="J183" s="39"/>
      <c r="K183" s="40"/>
      <c r="L183" s="42"/>
      <c r="M183" s="42"/>
      <c r="N183" s="41"/>
    </row>
    <row r="184" spans="1:14" ht="15" customHeight="1" x14ac:dyDescent="0.25">
      <c r="A184" s="91" t="s">
        <v>78</v>
      </c>
      <c r="B184" s="24" t="s">
        <v>79</v>
      </c>
      <c r="C184" s="70"/>
      <c r="D184" s="26">
        <f t="shared" si="4"/>
        <v>423.9</v>
      </c>
      <c r="E184" s="26">
        <f>SUM(E185:E188)</f>
        <v>423.9</v>
      </c>
      <c r="F184" s="26">
        <f>SUM(F185:F188)</f>
        <v>370.20000000000005</v>
      </c>
      <c r="G184" s="27">
        <f>SUM(G185:G188)</f>
        <v>0</v>
      </c>
      <c r="I184" s="43"/>
      <c r="J184" s="39"/>
      <c r="K184" s="40"/>
      <c r="L184" s="42"/>
      <c r="M184" s="42"/>
      <c r="N184" s="41"/>
    </row>
    <row r="185" spans="1:14" ht="12.75" customHeight="1" x14ac:dyDescent="0.25">
      <c r="A185" s="91"/>
      <c r="B185" s="19" t="s">
        <v>20</v>
      </c>
      <c r="C185" s="72" t="s">
        <v>16</v>
      </c>
      <c r="D185" s="14">
        <f t="shared" si="4"/>
        <v>5</v>
      </c>
      <c r="E185" s="14">
        <v>5</v>
      </c>
      <c r="F185" s="14"/>
      <c r="G185" s="38"/>
      <c r="I185" s="43"/>
      <c r="J185" s="39"/>
      <c r="K185" s="40"/>
      <c r="L185" s="42"/>
      <c r="M185" s="42"/>
      <c r="N185" s="41"/>
    </row>
    <row r="186" spans="1:14" ht="12.75" customHeight="1" x14ac:dyDescent="0.25">
      <c r="A186" s="91"/>
      <c r="B186" s="13" t="s">
        <v>15</v>
      </c>
      <c r="C186" s="78" t="s">
        <v>22</v>
      </c>
      <c r="D186" s="14">
        <f t="shared" si="4"/>
        <v>182.6</v>
      </c>
      <c r="E186" s="14">
        <v>182.6</v>
      </c>
      <c r="F186" s="14">
        <f>145.9</f>
        <v>145.9</v>
      </c>
      <c r="G186" s="23"/>
      <c r="I186" s="43"/>
      <c r="J186" s="39"/>
      <c r="K186" s="40"/>
      <c r="L186" s="42"/>
      <c r="M186" s="42"/>
      <c r="N186" s="41"/>
    </row>
    <row r="187" spans="1:14" ht="12.75" customHeight="1" x14ac:dyDescent="0.25">
      <c r="A187" s="91"/>
      <c r="B187" s="13" t="s">
        <v>160</v>
      </c>
      <c r="C187" s="79"/>
      <c r="D187" s="14">
        <f t="shared" si="4"/>
        <v>232.3</v>
      </c>
      <c r="E187" s="14">
        <v>232.3</v>
      </c>
      <c r="F187" s="14">
        <v>224.3</v>
      </c>
      <c r="G187" s="23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91"/>
      <c r="B188" s="13" t="s">
        <v>19</v>
      </c>
      <c r="C188" s="80"/>
      <c r="D188" s="14">
        <f t="shared" si="4"/>
        <v>4</v>
      </c>
      <c r="E188" s="14">
        <v>4</v>
      </c>
      <c r="F188" s="14"/>
      <c r="G188" s="23"/>
      <c r="I188" s="43"/>
      <c r="J188" s="39"/>
      <c r="K188" s="40"/>
      <c r="L188" s="42"/>
      <c r="M188" s="42"/>
      <c r="N188" s="41"/>
    </row>
    <row r="189" spans="1:14" ht="15" customHeight="1" x14ac:dyDescent="0.25">
      <c r="A189" s="91" t="s">
        <v>80</v>
      </c>
      <c r="B189" s="24" t="s">
        <v>81</v>
      </c>
      <c r="C189" s="70"/>
      <c r="D189" s="26">
        <f t="shared" ref="D189:D250" si="5">SUM(G189+E189)</f>
        <v>485.8</v>
      </c>
      <c r="E189" s="26">
        <f>SUM(E190:E193)</f>
        <v>484.6</v>
      </c>
      <c r="F189" s="26">
        <f>SUM(F190:F193)</f>
        <v>362.6</v>
      </c>
      <c r="G189" s="26">
        <f>SUM(G190:G193)</f>
        <v>1.2</v>
      </c>
      <c r="I189" s="43"/>
      <c r="J189" s="39"/>
      <c r="K189" s="40"/>
      <c r="L189" s="42"/>
      <c r="M189" s="42"/>
      <c r="N189" s="41"/>
    </row>
    <row r="190" spans="1:14" ht="12.75" customHeight="1" x14ac:dyDescent="0.25">
      <c r="A190" s="91"/>
      <c r="B190" s="19" t="s">
        <v>20</v>
      </c>
      <c r="C190" s="72" t="s">
        <v>16</v>
      </c>
      <c r="D190" s="14">
        <f t="shared" si="5"/>
        <v>12.5</v>
      </c>
      <c r="E190" s="14">
        <v>12.5</v>
      </c>
      <c r="F190" s="14"/>
      <c r="G190" s="44"/>
      <c r="I190" s="43"/>
      <c r="J190" s="39"/>
      <c r="K190" s="40"/>
      <c r="L190" s="42"/>
      <c r="M190" s="42"/>
      <c r="N190" s="41"/>
    </row>
    <row r="191" spans="1:14" ht="12.75" customHeight="1" x14ac:dyDescent="0.25">
      <c r="A191" s="91"/>
      <c r="B191" s="13" t="s">
        <v>15</v>
      </c>
      <c r="C191" s="78" t="s">
        <v>22</v>
      </c>
      <c r="D191" s="14">
        <f t="shared" si="5"/>
        <v>268.8</v>
      </c>
      <c r="E191" s="14">
        <v>268.8</v>
      </c>
      <c r="F191" s="14">
        <f>223.9-17.1</f>
        <v>206.8</v>
      </c>
      <c r="G191" s="14"/>
      <c r="I191" s="43"/>
      <c r="J191" s="39"/>
      <c r="K191" s="40"/>
      <c r="L191" s="42"/>
      <c r="M191" s="42"/>
      <c r="N191" s="41"/>
    </row>
    <row r="192" spans="1:14" ht="12.75" customHeight="1" x14ac:dyDescent="0.25">
      <c r="A192" s="91"/>
      <c r="B192" s="13" t="s">
        <v>160</v>
      </c>
      <c r="C192" s="79"/>
      <c r="D192" s="14">
        <f t="shared" si="5"/>
        <v>193.5</v>
      </c>
      <c r="E192" s="14">
        <v>193.5</v>
      </c>
      <c r="F192" s="14">
        <f>187.2-31.4</f>
        <v>155.79999999999998</v>
      </c>
      <c r="G192" s="14"/>
      <c r="I192" s="43"/>
      <c r="J192" s="39"/>
      <c r="K192" s="40"/>
      <c r="L192" s="42"/>
      <c r="M192" s="42"/>
      <c r="N192" s="41"/>
    </row>
    <row r="193" spans="1:14" ht="12.75" customHeight="1" x14ac:dyDescent="0.25">
      <c r="A193" s="91"/>
      <c r="B193" s="13" t="s">
        <v>19</v>
      </c>
      <c r="C193" s="80"/>
      <c r="D193" s="14">
        <f t="shared" si="5"/>
        <v>11</v>
      </c>
      <c r="E193" s="14">
        <v>9.8000000000000007</v>
      </c>
      <c r="F193" s="14"/>
      <c r="G193" s="14">
        <v>1.2</v>
      </c>
      <c r="I193" s="43"/>
      <c r="J193" s="39"/>
      <c r="K193" s="40"/>
      <c r="L193" s="42"/>
      <c r="M193" s="42"/>
      <c r="N193" s="41"/>
    </row>
    <row r="194" spans="1:14" ht="15" customHeight="1" x14ac:dyDescent="0.25">
      <c r="A194" s="91" t="s">
        <v>82</v>
      </c>
      <c r="B194" s="24" t="s">
        <v>83</v>
      </c>
      <c r="C194" s="70"/>
      <c r="D194" s="26">
        <f t="shared" si="5"/>
        <v>328.09999999999997</v>
      </c>
      <c r="E194" s="26">
        <f>SUM(E195:E198)</f>
        <v>328.09999999999997</v>
      </c>
      <c r="F194" s="26">
        <f>SUM(F195:F198)</f>
        <v>205</v>
      </c>
      <c r="G194" s="27">
        <f>SUM(G195:G198)</f>
        <v>0</v>
      </c>
      <c r="I194" s="43"/>
      <c r="J194" s="39"/>
      <c r="K194" s="40"/>
      <c r="L194" s="42"/>
      <c r="M194" s="42"/>
      <c r="N194" s="41"/>
    </row>
    <row r="195" spans="1:14" ht="12.75" customHeight="1" x14ac:dyDescent="0.25">
      <c r="A195" s="91"/>
      <c r="B195" s="19" t="s">
        <v>20</v>
      </c>
      <c r="C195" s="72" t="s">
        <v>16</v>
      </c>
      <c r="D195" s="14">
        <f t="shared" si="5"/>
        <v>3</v>
      </c>
      <c r="E195" s="14">
        <v>3</v>
      </c>
      <c r="F195" s="14"/>
      <c r="G195" s="44"/>
      <c r="I195" s="43"/>
      <c r="J195" s="39"/>
      <c r="K195" s="40"/>
      <c r="L195" s="42"/>
      <c r="M195" s="42"/>
      <c r="N195" s="41"/>
    </row>
    <row r="196" spans="1:14" ht="12.75" customHeight="1" x14ac:dyDescent="0.25">
      <c r="A196" s="91"/>
      <c r="B196" s="13" t="s">
        <v>15</v>
      </c>
      <c r="C196" s="78" t="s">
        <v>22</v>
      </c>
      <c r="D196" s="14">
        <f t="shared" si="5"/>
        <v>203.5</v>
      </c>
      <c r="E196" s="14">
        <f>193.3+10.2</f>
        <v>203.5</v>
      </c>
      <c r="F196" s="14">
        <f>152.1-63.8</f>
        <v>88.3</v>
      </c>
      <c r="G196" s="14"/>
      <c r="I196" s="43"/>
      <c r="J196" s="39"/>
      <c r="K196" s="40"/>
      <c r="L196" s="42"/>
      <c r="M196" s="42"/>
      <c r="N196" s="41"/>
    </row>
    <row r="197" spans="1:14" ht="12.75" customHeight="1" x14ac:dyDescent="0.25">
      <c r="A197" s="91"/>
      <c r="B197" s="13" t="s">
        <v>160</v>
      </c>
      <c r="C197" s="79"/>
      <c r="D197" s="14">
        <f t="shared" si="5"/>
        <v>119.9</v>
      </c>
      <c r="E197" s="14">
        <v>119.9</v>
      </c>
      <c r="F197" s="14">
        <v>116.7</v>
      </c>
      <c r="G197" s="23"/>
      <c r="I197" s="43"/>
      <c r="J197" s="39"/>
      <c r="K197" s="40"/>
      <c r="L197" s="42"/>
      <c r="M197" s="42"/>
      <c r="N197" s="41"/>
    </row>
    <row r="198" spans="1:14" ht="12.75" customHeight="1" x14ac:dyDescent="0.25">
      <c r="A198" s="91"/>
      <c r="B198" s="13" t="s">
        <v>19</v>
      </c>
      <c r="C198" s="80"/>
      <c r="D198" s="14">
        <f t="shared" si="5"/>
        <v>1.7</v>
      </c>
      <c r="E198" s="14">
        <f>2.4-0.7</f>
        <v>1.7</v>
      </c>
      <c r="F198" s="14"/>
      <c r="G198" s="23"/>
      <c r="I198" s="43"/>
      <c r="J198" s="39"/>
      <c r="K198" s="40"/>
      <c r="L198" s="42"/>
      <c r="M198" s="42"/>
      <c r="N198" s="41"/>
    </row>
    <row r="199" spans="1:14" ht="15" customHeight="1" x14ac:dyDescent="0.25">
      <c r="A199" s="91" t="s">
        <v>84</v>
      </c>
      <c r="B199" s="24" t="s">
        <v>85</v>
      </c>
      <c r="C199" s="25"/>
      <c r="D199" s="26">
        <f t="shared" si="5"/>
        <v>469.79999999999995</v>
      </c>
      <c r="E199" s="26">
        <f>SUM(E200:E203)</f>
        <v>469.79999999999995</v>
      </c>
      <c r="F199" s="26">
        <f>SUM(F200:F203)</f>
        <v>398.4</v>
      </c>
      <c r="G199" s="27">
        <f>SUM(G200:G203)</f>
        <v>0</v>
      </c>
      <c r="I199" s="43"/>
      <c r="J199" s="39"/>
      <c r="K199" s="40"/>
      <c r="L199" s="42"/>
      <c r="M199" s="42"/>
      <c r="N199" s="41"/>
    </row>
    <row r="200" spans="1:14" ht="12.75" customHeight="1" x14ac:dyDescent="0.25">
      <c r="A200" s="91"/>
      <c r="B200" s="19" t="s">
        <v>20</v>
      </c>
      <c r="C200" s="69" t="s">
        <v>16</v>
      </c>
      <c r="D200" s="14">
        <f t="shared" si="5"/>
        <v>12</v>
      </c>
      <c r="E200" s="14">
        <v>12</v>
      </c>
      <c r="F200" s="14"/>
      <c r="G200" s="38"/>
      <c r="I200" s="43"/>
      <c r="J200" s="39"/>
      <c r="K200" s="40"/>
      <c r="L200" s="42"/>
      <c r="M200" s="42"/>
      <c r="N200" s="41"/>
    </row>
    <row r="201" spans="1:14" ht="12.75" customHeight="1" x14ac:dyDescent="0.25">
      <c r="A201" s="91"/>
      <c r="B201" s="13" t="s">
        <v>15</v>
      </c>
      <c r="C201" s="84" t="s">
        <v>22</v>
      </c>
      <c r="D201" s="14">
        <f t="shared" si="5"/>
        <v>202.7</v>
      </c>
      <c r="E201" s="14">
        <v>202.7</v>
      </c>
      <c r="F201" s="14">
        <v>153.19999999999999</v>
      </c>
      <c r="G201" s="23"/>
      <c r="I201" s="43"/>
      <c r="J201" s="39"/>
      <c r="K201" s="40"/>
      <c r="L201" s="42"/>
      <c r="M201" s="42"/>
      <c r="N201" s="41"/>
    </row>
    <row r="202" spans="1:14" ht="12.75" customHeight="1" x14ac:dyDescent="0.25">
      <c r="A202" s="91"/>
      <c r="B202" s="13" t="s">
        <v>160</v>
      </c>
      <c r="C202" s="85"/>
      <c r="D202" s="14">
        <f t="shared" si="5"/>
        <v>252.2</v>
      </c>
      <c r="E202" s="14">
        <v>252.2</v>
      </c>
      <c r="F202" s="14">
        <v>245.2</v>
      </c>
      <c r="G202" s="23"/>
      <c r="I202" s="43"/>
      <c r="J202" s="39"/>
      <c r="K202" s="40"/>
      <c r="L202" s="42"/>
      <c r="M202" s="42"/>
      <c r="N202" s="41"/>
    </row>
    <row r="203" spans="1:14" ht="12.75" customHeight="1" x14ac:dyDescent="0.25">
      <c r="A203" s="91"/>
      <c r="B203" s="13" t="s">
        <v>19</v>
      </c>
      <c r="C203" s="86"/>
      <c r="D203" s="14">
        <f t="shared" si="5"/>
        <v>2.9</v>
      </c>
      <c r="E203" s="14">
        <v>2.9</v>
      </c>
      <c r="F203" s="14"/>
      <c r="G203" s="23"/>
      <c r="I203" s="43"/>
      <c r="J203" s="39"/>
      <c r="K203" s="40"/>
      <c r="L203" s="42"/>
      <c r="M203" s="42"/>
      <c r="N203" s="41"/>
    </row>
    <row r="204" spans="1:14" ht="15" customHeight="1" x14ac:dyDescent="0.25">
      <c r="A204" s="91" t="s">
        <v>86</v>
      </c>
      <c r="B204" s="24" t="s">
        <v>87</v>
      </c>
      <c r="C204" s="71"/>
      <c r="D204" s="26">
        <f t="shared" si="5"/>
        <v>568.6</v>
      </c>
      <c r="E204" s="26">
        <f>SUM(E205:E208)</f>
        <v>568.6</v>
      </c>
      <c r="F204" s="26">
        <f>SUM(F205:F208)</f>
        <v>464.4</v>
      </c>
      <c r="G204" s="27">
        <f>SUM(G205:G208)</f>
        <v>0</v>
      </c>
      <c r="I204" s="43"/>
      <c r="J204" s="39"/>
      <c r="K204" s="40"/>
      <c r="L204" s="42"/>
      <c r="M204" s="42"/>
      <c r="N204" s="41"/>
    </row>
    <row r="205" spans="1:14" ht="12.75" customHeight="1" x14ac:dyDescent="0.25">
      <c r="A205" s="91"/>
      <c r="B205" s="19" t="s">
        <v>20</v>
      </c>
      <c r="C205" s="69" t="s">
        <v>16</v>
      </c>
      <c r="D205" s="14">
        <f t="shared" si="5"/>
        <v>15</v>
      </c>
      <c r="E205" s="14">
        <v>15</v>
      </c>
      <c r="F205" s="14"/>
      <c r="G205" s="38"/>
      <c r="I205" s="43"/>
      <c r="J205" s="39"/>
      <c r="K205" s="40"/>
      <c r="L205" s="42"/>
      <c r="M205" s="42"/>
      <c r="N205" s="41"/>
    </row>
    <row r="206" spans="1:14" ht="12.75" customHeight="1" x14ac:dyDescent="0.25">
      <c r="A206" s="91"/>
      <c r="B206" s="13" t="s">
        <v>15</v>
      </c>
      <c r="C206" s="84" t="s">
        <v>22</v>
      </c>
      <c r="D206" s="14">
        <f t="shared" si="5"/>
        <v>207.8</v>
      </c>
      <c r="E206" s="14">
        <v>207.8</v>
      </c>
      <c r="F206" s="14">
        <f>153.7-7.5</f>
        <v>146.19999999999999</v>
      </c>
      <c r="G206" s="23"/>
      <c r="I206" s="43"/>
      <c r="J206" s="39"/>
      <c r="K206" s="40"/>
      <c r="L206" s="42"/>
      <c r="M206" s="42"/>
      <c r="N206" s="41"/>
    </row>
    <row r="207" spans="1:14" ht="12.75" customHeight="1" x14ac:dyDescent="0.25">
      <c r="A207" s="91"/>
      <c r="B207" s="13" t="s">
        <v>160</v>
      </c>
      <c r="C207" s="85"/>
      <c r="D207" s="14">
        <f t="shared" si="5"/>
        <v>327.8</v>
      </c>
      <c r="E207" s="14">
        <v>327.8</v>
      </c>
      <c r="F207" s="14">
        <v>318.2</v>
      </c>
      <c r="G207" s="23"/>
      <c r="J207" s="39"/>
      <c r="K207" s="40"/>
      <c r="L207" s="42"/>
      <c r="M207" s="42"/>
      <c r="N207" s="41"/>
    </row>
    <row r="208" spans="1:14" ht="12.75" customHeight="1" x14ac:dyDescent="0.25">
      <c r="A208" s="91"/>
      <c r="B208" s="13" t="s">
        <v>19</v>
      </c>
      <c r="C208" s="86"/>
      <c r="D208" s="14">
        <f t="shared" si="5"/>
        <v>18</v>
      </c>
      <c r="E208" s="14">
        <v>18</v>
      </c>
      <c r="F208" s="14"/>
      <c r="G208" s="23"/>
      <c r="J208" s="39"/>
      <c r="K208" s="40"/>
      <c r="L208" s="42"/>
      <c r="M208" s="42"/>
      <c r="N208" s="41"/>
    </row>
    <row r="209" spans="1:20" ht="15" customHeight="1" x14ac:dyDescent="0.25">
      <c r="A209" s="91" t="s">
        <v>88</v>
      </c>
      <c r="B209" s="24" t="s">
        <v>89</v>
      </c>
      <c r="C209" s="71"/>
      <c r="D209" s="26">
        <f t="shared" si="5"/>
        <v>557.20000000000005</v>
      </c>
      <c r="E209" s="26">
        <f>SUM(E210:E214)</f>
        <v>557.20000000000005</v>
      </c>
      <c r="F209" s="26">
        <f>SUM(F210:F214)</f>
        <v>455.9</v>
      </c>
      <c r="G209" s="27">
        <f>SUM(G210:G214)</f>
        <v>0</v>
      </c>
      <c r="J209" s="39"/>
      <c r="K209" s="40"/>
      <c r="L209" s="42"/>
      <c r="M209" s="42"/>
      <c r="N209" s="41"/>
    </row>
    <row r="210" spans="1:20" ht="12.75" customHeight="1" x14ac:dyDescent="0.25">
      <c r="A210" s="91"/>
      <c r="B210" s="19" t="s">
        <v>20</v>
      </c>
      <c r="C210" s="69" t="s">
        <v>16</v>
      </c>
      <c r="D210" s="14">
        <f t="shared" si="5"/>
        <v>12</v>
      </c>
      <c r="E210" s="14">
        <v>12</v>
      </c>
      <c r="F210" s="14"/>
      <c r="G210" s="38"/>
      <c r="J210" s="39"/>
      <c r="K210" s="40"/>
      <c r="L210" s="42"/>
      <c r="M210" s="42"/>
      <c r="N210" s="41"/>
    </row>
    <row r="211" spans="1:20" ht="12.75" customHeight="1" x14ac:dyDescent="0.25">
      <c r="A211" s="91"/>
      <c r="B211" s="13" t="s">
        <v>15</v>
      </c>
      <c r="C211" s="78" t="s">
        <v>22</v>
      </c>
      <c r="D211" s="14">
        <f t="shared" si="5"/>
        <v>249.4</v>
      </c>
      <c r="E211" s="14">
        <f>244.4+5</f>
        <v>249.4</v>
      </c>
      <c r="F211" s="14">
        <v>192.1</v>
      </c>
      <c r="G211" s="23"/>
      <c r="J211" s="39"/>
      <c r="K211" s="40"/>
      <c r="L211" s="42"/>
      <c r="M211" s="42"/>
      <c r="N211" s="41"/>
    </row>
    <row r="212" spans="1:20" ht="12.75" customHeight="1" x14ac:dyDescent="0.25">
      <c r="A212" s="91"/>
      <c r="B212" s="13" t="s">
        <v>160</v>
      </c>
      <c r="C212" s="79"/>
      <c r="D212" s="14">
        <f t="shared" si="5"/>
        <v>277.8</v>
      </c>
      <c r="E212" s="14">
        <v>277.8</v>
      </c>
      <c r="F212" s="14">
        <f>269.7-6</f>
        <v>263.7</v>
      </c>
      <c r="G212" s="23"/>
      <c r="J212" s="39"/>
      <c r="K212" s="40"/>
      <c r="L212" s="42"/>
      <c r="M212" s="42"/>
      <c r="N212" s="41"/>
    </row>
    <row r="213" spans="1:20" ht="12.75" customHeight="1" x14ac:dyDescent="0.25">
      <c r="A213" s="91"/>
      <c r="B213" s="13" t="s">
        <v>117</v>
      </c>
      <c r="C213" s="79"/>
      <c r="D213" s="14">
        <f t="shared" si="5"/>
        <v>0.1</v>
      </c>
      <c r="E213" s="14">
        <v>0.1</v>
      </c>
      <c r="F213" s="14">
        <v>0.1</v>
      </c>
      <c r="G213" s="23"/>
      <c r="J213" s="39"/>
      <c r="K213" s="40"/>
      <c r="L213" s="42"/>
      <c r="M213" s="42"/>
      <c r="N213" s="41"/>
    </row>
    <row r="214" spans="1:20" ht="12.75" customHeight="1" x14ac:dyDescent="0.25">
      <c r="A214" s="91"/>
      <c r="B214" s="13" t="s">
        <v>19</v>
      </c>
      <c r="C214" s="80"/>
      <c r="D214" s="14">
        <f t="shared" si="5"/>
        <v>17.899999999999999</v>
      </c>
      <c r="E214" s="14">
        <v>17.899999999999999</v>
      </c>
      <c r="F214" s="14"/>
      <c r="G214" s="23"/>
      <c r="J214" s="39"/>
      <c r="K214" s="40"/>
      <c r="L214" s="42"/>
      <c r="M214" s="42"/>
      <c r="N214" s="41"/>
    </row>
    <row r="215" spans="1:20" ht="15" customHeight="1" x14ac:dyDescent="0.25">
      <c r="A215" s="91" t="s">
        <v>90</v>
      </c>
      <c r="B215" s="24" t="s">
        <v>91</v>
      </c>
      <c r="C215" s="70"/>
      <c r="D215" s="26">
        <f t="shared" si="5"/>
        <v>571.40000000000009</v>
      </c>
      <c r="E215" s="26">
        <f>SUM(E216:E220)</f>
        <v>571.40000000000009</v>
      </c>
      <c r="F215" s="26">
        <f>SUM(F216:F220)</f>
        <v>434.79999999999995</v>
      </c>
      <c r="G215" s="27">
        <f>SUM(G216:G220)</f>
        <v>0</v>
      </c>
      <c r="J215" s="39"/>
      <c r="K215" s="40"/>
      <c r="L215" s="42"/>
      <c r="M215" s="42"/>
      <c r="N215" s="41"/>
    </row>
    <row r="216" spans="1:20" ht="12.75" customHeight="1" x14ac:dyDescent="0.25">
      <c r="A216" s="91"/>
      <c r="B216" s="19" t="s">
        <v>20</v>
      </c>
      <c r="C216" s="72" t="s">
        <v>16</v>
      </c>
      <c r="D216" s="14">
        <f t="shared" si="5"/>
        <v>24</v>
      </c>
      <c r="E216" s="14">
        <v>24</v>
      </c>
      <c r="F216" s="14"/>
      <c r="G216" s="44"/>
      <c r="J216" s="39"/>
      <c r="K216" s="40"/>
      <c r="L216" s="42"/>
      <c r="M216" s="42"/>
      <c r="N216" s="41"/>
    </row>
    <row r="217" spans="1:20" ht="12.75" customHeight="1" x14ac:dyDescent="0.25">
      <c r="A217" s="91"/>
      <c r="B217" s="13" t="s">
        <v>15</v>
      </c>
      <c r="C217" s="78" t="s">
        <v>22</v>
      </c>
      <c r="D217" s="14">
        <f t="shared" si="5"/>
        <v>233.1</v>
      </c>
      <c r="E217" s="14">
        <v>233.1</v>
      </c>
      <c r="F217" s="14">
        <v>149.9</v>
      </c>
      <c r="G217" s="14"/>
      <c r="J217" s="39"/>
      <c r="K217" s="40"/>
      <c r="L217" s="41"/>
      <c r="M217" s="41"/>
      <c r="N217" s="41"/>
    </row>
    <row r="218" spans="1:20" ht="12.75" customHeight="1" x14ac:dyDescent="0.25">
      <c r="A218" s="91"/>
      <c r="B218" s="13" t="s">
        <v>160</v>
      </c>
      <c r="C218" s="79"/>
      <c r="D218" s="14">
        <f t="shared" si="5"/>
        <v>303.8</v>
      </c>
      <c r="E218" s="14">
        <f>303.8+10.5-10.5</f>
        <v>303.8</v>
      </c>
      <c r="F218" s="14">
        <f>295.4-10.5</f>
        <v>284.89999999999998</v>
      </c>
      <c r="G218" s="23"/>
      <c r="J218" s="41"/>
      <c r="K218" s="41"/>
      <c r="L218" s="41"/>
      <c r="M218" s="41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91"/>
      <c r="B219" s="13" t="s">
        <v>117</v>
      </c>
      <c r="C219" s="79"/>
      <c r="D219" s="14">
        <f t="shared" si="5"/>
        <v>6.3</v>
      </c>
      <c r="E219" s="14">
        <v>6.3</v>
      </c>
      <c r="F219" s="14"/>
      <c r="G219" s="23"/>
      <c r="J219" s="41"/>
      <c r="K219" s="41"/>
      <c r="L219" s="41"/>
      <c r="M219" s="41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91"/>
      <c r="B220" s="13" t="s">
        <v>19</v>
      </c>
      <c r="C220" s="80"/>
      <c r="D220" s="14">
        <f t="shared" si="5"/>
        <v>4.2</v>
      </c>
      <c r="E220" s="14">
        <v>4.2</v>
      </c>
      <c r="F220" s="14"/>
      <c r="G220" s="23"/>
      <c r="J220" s="41"/>
      <c r="K220" s="41"/>
      <c r="L220" s="41"/>
      <c r="M220" s="41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91" t="s">
        <v>161</v>
      </c>
      <c r="B221" s="24" t="s">
        <v>93</v>
      </c>
      <c r="C221" s="70"/>
      <c r="D221" s="26">
        <f t="shared" si="5"/>
        <v>387.90000000000003</v>
      </c>
      <c r="E221" s="26">
        <f>SUM(E222:E225)</f>
        <v>387.90000000000003</v>
      </c>
      <c r="F221" s="26">
        <f>SUM(F222:F225)</f>
        <v>276.79999999999995</v>
      </c>
      <c r="G221" s="27">
        <f>SUM(G222:G225)</f>
        <v>0</v>
      </c>
      <c r="J221" s="41"/>
      <c r="K221" s="41"/>
      <c r="L221" s="41"/>
      <c r="M221" s="41"/>
      <c r="N221" s="45"/>
      <c r="O221" s="39"/>
      <c r="P221" s="40"/>
      <c r="Q221" s="42"/>
      <c r="R221" s="42"/>
      <c r="S221" s="42"/>
      <c r="T221" s="42"/>
    </row>
    <row r="222" spans="1:20" ht="12.75" customHeight="1" x14ac:dyDescent="0.25">
      <c r="A222" s="91"/>
      <c r="B222" s="19" t="s">
        <v>20</v>
      </c>
      <c r="C222" s="72" t="s">
        <v>16</v>
      </c>
      <c r="D222" s="14">
        <f t="shared" si="5"/>
        <v>4</v>
      </c>
      <c r="E222" s="14">
        <v>4</v>
      </c>
      <c r="F222" s="14"/>
      <c r="G222" s="38"/>
      <c r="N222" s="45"/>
      <c r="O222" s="39"/>
      <c r="P222" s="40"/>
      <c r="Q222" s="42"/>
      <c r="R222" s="42"/>
      <c r="S222" s="42"/>
      <c r="T222" s="42"/>
    </row>
    <row r="223" spans="1:20" ht="12.75" customHeight="1" x14ac:dyDescent="0.25">
      <c r="A223" s="91"/>
      <c r="B223" s="13" t="s">
        <v>15</v>
      </c>
      <c r="C223" s="78" t="s">
        <v>22</v>
      </c>
      <c r="D223" s="14">
        <f t="shared" si="5"/>
        <v>202.60000000000002</v>
      </c>
      <c r="E223" s="14">
        <f>209.8-7.2</f>
        <v>202.60000000000002</v>
      </c>
      <c r="F223" s="14">
        <f>167-7.2-15.4</f>
        <v>144.4</v>
      </c>
      <c r="G223" s="23"/>
      <c r="N223" s="45"/>
      <c r="O223" s="39"/>
      <c r="P223" s="40"/>
      <c r="Q223" s="42"/>
      <c r="R223" s="42"/>
      <c r="S223" s="42"/>
      <c r="T223" s="42"/>
    </row>
    <row r="224" spans="1:20" ht="12.75" customHeight="1" x14ac:dyDescent="0.25">
      <c r="A224" s="91"/>
      <c r="B224" s="13" t="s">
        <v>160</v>
      </c>
      <c r="C224" s="79"/>
      <c r="D224" s="14">
        <f t="shared" si="5"/>
        <v>177</v>
      </c>
      <c r="E224" s="14">
        <v>177</v>
      </c>
      <c r="F224" s="14">
        <f>172.1-39.7</f>
        <v>132.39999999999998</v>
      </c>
      <c r="G224" s="23"/>
      <c r="N224" s="45"/>
      <c r="O224" s="39"/>
      <c r="P224" s="40"/>
      <c r="Q224" s="42"/>
      <c r="R224" s="42"/>
      <c r="S224" s="42"/>
      <c r="T224" s="42"/>
    </row>
    <row r="225" spans="1:20" ht="12.75" customHeight="1" x14ac:dyDescent="0.25">
      <c r="A225" s="91"/>
      <c r="B225" s="13" t="s">
        <v>19</v>
      </c>
      <c r="C225" s="80"/>
      <c r="D225" s="14">
        <f t="shared" si="5"/>
        <v>4.3</v>
      </c>
      <c r="E225" s="14">
        <f>12-7.7</f>
        <v>4.3</v>
      </c>
      <c r="F225" s="14"/>
      <c r="G225" s="23"/>
      <c r="N225" s="45"/>
      <c r="O225" s="39"/>
      <c r="P225" s="40"/>
      <c r="Q225" s="42"/>
      <c r="R225" s="42"/>
      <c r="S225" s="42"/>
      <c r="T225" s="42"/>
    </row>
    <row r="226" spans="1:20" ht="15" customHeight="1" x14ac:dyDescent="0.25">
      <c r="A226" s="91" t="s">
        <v>92</v>
      </c>
      <c r="B226" s="24" t="s">
        <v>94</v>
      </c>
      <c r="C226" s="70"/>
      <c r="D226" s="26">
        <f t="shared" si="5"/>
        <v>227.2</v>
      </c>
      <c r="E226" s="26">
        <f>SUM(E227:E230)</f>
        <v>227.2</v>
      </c>
      <c r="F226" s="26">
        <f>SUM(F227:F230)</f>
        <v>186.5</v>
      </c>
      <c r="G226" s="27">
        <f>SUM(G227:G230)</f>
        <v>0</v>
      </c>
      <c r="N226" s="45"/>
      <c r="O226" s="39"/>
      <c r="P226" s="40"/>
      <c r="Q226" s="42"/>
      <c r="R226" s="42"/>
      <c r="S226" s="42"/>
      <c r="T226" s="42"/>
    </row>
    <row r="227" spans="1:20" ht="12.95" customHeight="1" x14ac:dyDescent="0.25">
      <c r="A227" s="91"/>
      <c r="B227" s="19" t="s">
        <v>20</v>
      </c>
      <c r="C227" s="72" t="s">
        <v>16</v>
      </c>
      <c r="D227" s="14">
        <f t="shared" si="5"/>
        <v>1.5</v>
      </c>
      <c r="E227" s="14">
        <v>1.5</v>
      </c>
      <c r="F227" s="14"/>
      <c r="G227" s="38"/>
      <c r="N227" s="45"/>
      <c r="O227" s="39"/>
      <c r="P227" s="40"/>
      <c r="Q227" s="42"/>
      <c r="R227" s="42"/>
      <c r="S227" s="42"/>
      <c r="T227" s="42"/>
    </row>
    <row r="228" spans="1:20" ht="12.95" customHeight="1" x14ac:dyDescent="0.25">
      <c r="A228" s="91"/>
      <c r="B228" s="13" t="s">
        <v>15</v>
      </c>
      <c r="C228" s="78" t="s">
        <v>22</v>
      </c>
      <c r="D228" s="14">
        <f t="shared" si="5"/>
        <v>140</v>
      </c>
      <c r="E228" s="14">
        <v>140</v>
      </c>
      <c r="F228" s="14">
        <v>114</v>
      </c>
      <c r="G228" s="23"/>
      <c r="N228" s="45"/>
      <c r="O228" s="39"/>
      <c r="P228" s="40"/>
      <c r="Q228" s="42"/>
      <c r="R228" s="42"/>
      <c r="S228" s="42"/>
      <c r="T228" s="42"/>
    </row>
    <row r="229" spans="1:20" ht="12.95" customHeight="1" x14ac:dyDescent="0.25">
      <c r="A229" s="91"/>
      <c r="B229" s="13" t="s">
        <v>160</v>
      </c>
      <c r="C229" s="79"/>
      <c r="D229" s="14">
        <f t="shared" si="5"/>
        <v>75.5</v>
      </c>
      <c r="E229" s="14">
        <v>75.5</v>
      </c>
      <c r="F229" s="14">
        <v>72.5</v>
      </c>
      <c r="G229" s="23"/>
      <c r="N229" s="45"/>
      <c r="O229" s="39"/>
      <c r="P229" s="40"/>
      <c r="Q229" s="42"/>
      <c r="R229" s="42"/>
      <c r="S229" s="42"/>
      <c r="T229" s="42"/>
    </row>
    <row r="230" spans="1:20" ht="12.95" customHeight="1" x14ac:dyDescent="0.25">
      <c r="A230" s="91"/>
      <c r="B230" s="13" t="s">
        <v>19</v>
      </c>
      <c r="C230" s="80"/>
      <c r="D230" s="14">
        <f t="shared" si="5"/>
        <v>10.199999999999999</v>
      </c>
      <c r="E230" s="14">
        <v>10.199999999999999</v>
      </c>
      <c r="F230" s="14"/>
      <c r="G230" s="23"/>
      <c r="N230" s="45"/>
      <c r="O230" s="39"/>
      <c r="P230" s="40"/>
      <c r="Q230" s="42"/>
      <c r="R230" s="42"/>
      <c r="S230" s="42"/>
      <c r="T230" s="42"/>
    </row>
    <row r="231" spans="1:20" ht="15" customHeight="1" x14ac:dyDescent="0.25">
      <c r="A231" s="91" t="s">
        <v>95</v>
      </c>
      <c r="B231" s="24" t="s">
        <v>96</v>
      </c>
      <c r="C231" s="25"/>
      <c r="D231" s="26">
        <f t="shared" si="5"/>
        <v>409.79999999999995</v>
      </c>
      <c r="E231" s="26">
        <f>SUM(E232:E236)</f>
        <v>409.79999999999995</v>
      </c>
      <c r="F231" s="26">
        <f>SUM(F232:F236)</f>
        <v>340.20000000000005</v>
      </c>
      <c r="G231" s="27">
        <f>SUM(G232:G236)</f>
        <v>0</v>
      </c>
      <c r="N231" s="45"/>
      <c r="O231" s="39"/>
      <c r="P231" s="40"/>
      <c r="Q231" s="42"/>
      <c r="R231" s="42"/>
      <c r="S231" s="42"/>
      <c r="T231" s="42"/>
    </row>
    <row r="232" spans="1:20" ht="12.75" customHeight="1" x14ac:dyDescent="0.25">
      <c r="A232" s="91"/>
      <c r="B232" s="19" t="s">
        <v>20</v>
      </c>
      <c r="C232" s="72" t="s">
        <v>16</v>
      </c>
      <c r="D232" s="14">
        <f t="shared" si="5"/>
        <v>6</v>
      </c>
      <c r="E232" s="14">
        <v>6</v>
      </c>
      <c r="F232" s="14"/>
      <c r="G232" s="44"/>
      <c r="N232" s="45"/>
      <c r="O232" s="39"/>
      <c r="P232" s="40"/>
      <c r="Q232" s="42"/>
      <c r="R232" s="42"/>
      <c r="S232" s="42"/>
      <c r="T232" s="42"/>
    </row>
    <row r="233" spans="1:20" ht="12.75" customHeight="1" x14ac:dyDescent="0.25">
      <c r="A233" s="91"/>
      <c r="B233" s="13" t="s">
        <v>15</v>
      </c>
      <c r="C233" s="78" t="s">
        <v>22</v>
      </c>
      <c r="D233" s="14">
        <f t="shared" si="5"/>
        <v>218.1</v>
      </c>
      <c r="E233" s="14">
        <v>218.1</v>
      </c>
      <c r="F233" s="14">
        <v>183.3</v>
      </c>
      <c r="G233" s="14"/>
      <c r="N233" s="45"/>
      <c r="O233" s="39"/>
      <c r="P233" s="40"/>
      <c r="Q233" s="42"/>
      <c r="R233" s="42"/>
      <c r="S233" s="42"/>
      <c r="T233" s="42"/>
    </row>
    <row r="234" spans="1:20" ht="12.75" customHeight="1" x14ac:dyDescent="0.25">
      <c r="A234" s="91"/>
      <c r="B234" s="13" t="s">
        <v>160</v>
      </c>
      <c r="C234" s="79"/>
      <c r="D234" s="14">
        <f t="shared" si="5"/>
        <v>163.30000000000001</v>
      </c>
      <c r="E234" s="14">
        <v>163.30000000000001</v>
      </c>
      <c r="F234" s="14">
        <v>156.9</v>
      </c>
      <c r="G234" s="23"/>
      <c r="N234" s="45"/>
      <c r="O234" s="39"/>
      <c r="P234" s="40"/>
      <c r="Q234" s="42"/>
      <c r="R234" s="42"/>
      <c r="S234" s="42"/>
      <c r="T234" s="42"/>
    </row>
    <row r="235" spans="1:20" ht="12.75" customHeight="1" x14ac:dyDescent="0.25">
      <c r="A235" s="91"/>
      <c r="B235" s="13" t="s">
        <v>117</v>
      </c>
      <c r="C235" s="79"/>
      <c r="D235" s="14">
        <f t="shared" si="5"/>
        <v>1.7</v>
      </c>
      <c r="E235" s="14">
        <v>1.7</v>
      </c>
      <c r="F235" s="14"/>
      <c r="G235" s="23"/>
      <c r="N235" s="45"/>
      <c r="O235" s="39"/>
      <c r="P235" s="40"/>
      <c r="Q235" s="42"/>
      <c r="R235" s="42"/>
      <c r="S235" s="42"/>
      <c r="T235" s="42"/>
    </row>
    <row r="236" spans="1:20" ht="12.75" customHeight="1" x14ac:dyDescent="0.25">
      <c r="A236" s="91"/>
      <c r="B236" s="13" t="s">
        <v>19</v>
      </c>
      <c r="C236" s="80"/>
      <c r="D236" s="14">
        <f t="shared" si="5"/>
        <v>20.7</v>
      </c>
      <c r="E236" s="14">
        <v>20.7</v>
      </c>
      <c r="F236" s="14"/>
      <c r="G236" s="23"/>
      <c r="N236" s="45"/>
      <c r="O236" s="39"/>
      <c r="P236" s="40"/>
      <c r="Q236" s="42"/>
      <c r="R236" s="42"/>
      <c r="S236" s="42"/>
      <c r="T236" s="42"/>
    </row>
    <row r="237" spans="1:20" ht="15" customHeight="1" x14ac:dyDescent="0.25">
      <c r="A237" s="91" t="s">
        <v>97</v>
      </c>
      <c r="B237" s="24" t="s">
        <v>98</v>
      </c>
      <c r="C237" s="70"/>
      <c r="D237" s="26">
        <f t="shared" si="5"/>
        <v>1124</v>
      </c>
      <c r="E237" s="26">
        <f>SUM(E238:E242)</f>
        <v>580.70000000000005</v>
      </c>
      <c r="F237" s="26">
        <f>SUM(F238:F242)</f>
        <v>483.70000000000005</v>
      </c>
      <c r="G237" s="26">
        <f>SUM(G238:G242)</f>
        <v>543.29999999999995</v>
      </c>
      <c r="J237" s="46"/>
      <c r="K237" s="46"/>
      <c r="L237" s="36"/>
      <c r="M237" s="36"/>
      <c r="N237" s="36"/>
      <c r="O237" s="36"/>
      <c r="P237" s="40"/>
      <c r="Q237" s="42"/>
      <c r="R237" s="42"/>
      <c r="S237" s="42"/>
      <c r="T237" s="42"/>
    </row>
    <row r="238" spans="1:20" ht="12.75" customHeight="1" x14ac:dyDescent="0.25">
      <c r="A238" s="91"/>
      <c r="B238" s="19" t="s">
        <v>20</v>
      </c>
      <c r="C238" s="72" t="s">
        <v>16</v>
      </c>
      <c r="D238" s="14">
        <f t="shared" si="5"/>
        <v>8</v>
      </c>
      <c r="E238" s="14">
        <v>8</v>
      </c>
      <c r="F238" s="14"/>
      <c r="G238" s="44"/>
      <c r="J238" s="46"/>
      <c r="K238" s="46"/>
      <c r="L238" s="36"/>
      <c r="M238" s="36"/>
      <c r="N238" s="36"/>
      <c r="O238" s="36"/>
      <c r="P238" s="40"/>
      <c r="Q238" s="42"/>
      <c r="R238" s="42"/>
      <c r="S238" s="42"/>
      <c r="T238" s="42"/>
    </row>
    <row r="239" spans="1:20" ht="12.75" customHeight="1" x14ac:dyDescent="0.25">
      <c r="A239" s="91"/>
      <c r="B239" s="13" t="s">
        <v>15</v>
      </c>
      <c r="C239" s="78" t="s">
        <v>22</v>
      </c>
      <c r="D239" s="14">
        <f t="shared" si="5"/>
        <v>337.8</v>
      </c>
      <c r="E239" s="14">
        <v>302.5</v>
      </c>
      <c r="F239" s="14">
        <v>264.10000000000002</v>
      </c>
      <c r="G239" s="14">
        <v>35.299999999999997</v>
      </c>
      <c r="J239" s="46"/>
      <c r="K239" s="46"/>
      <c r="L239" s="36"/>
      <c r="M239" s="36"/>
      <c r="N239" s="36"/>
      <c r="O239" s="36"/>
      <c r="P239" s="40"/>
      <c r="Q239" s="42"/>
      <c r="R239" s="42"/>
      <c r="S239" s="42"/>
      <c r="T239" s="42"/>
    </row>
    <row r="240" spans="1:20" ht="12.75" customHeight="1" x14ac:dyDescent="0.25">
      <c r="A240" s="91"/>
      <c r="B240" s="13" t="s">
        <v>160</v>
      </c>
      <c r="C240" s="79"/>
      <c r="D240" s="14">
        <f t="shared" si="5"/>
        <v>230</v>
      </c>
      <c r="E240" s="14">
        <v>230</v>
      </c>
      <c r="F240" s="14">
        <v>219.6</v>
      </c>
      <c r="G240" s="23"/>
      <c r="J240" s="46"/>
      <c r="K240" s="46"/>
      <c r="L240" s="36"/>
      <c r="M240" s="36"/>
      <c r="N240" s="36"/>
      <c r="O240" s="36"/>
      <c r="P240" s="40"/>
      <c r="Q240" s="42"/>
      <c r="R240" s="42"/>
      <c r="S240" s="42"/>
      <c r="T240" s="42"/>
    </row>
    <row r="241" spans="1:22" ht="12.75" customHeight="1" x14ac:dyDescent="0.25">
      <c r="A241" s="91"/>
      <c r="B241" s="13" t="s">
        <v>25</v>
      </c>
      <c r="C241" s="79"/>
      <c r="D241" s="14">
        <f t="shared" si="5"/>
        <v>508</v>
      </c>
      <c r="E241" s="14"/>
      <c r="F241" s="14"/>
      <c r="G241" s="14">
        <v>508</v>
      </c>
      <c r="J241" s="46"/>
      <c r="K241" s="46"/>
      <c r="L241" s="36"/>
      <c r="M241" s="36"/>
      <c r="N241" s="36"/>
      <c r="O241" s="36"/>
      <c r="P241" s="40"/>
      <c r="Q241" s="42"/>
      <c r="R241" s="42"/>
      <c r="S241" s="42"/>
      <c r="T241" s="42"/>
    </row>
    <row r="242" spans="1:22" ht="12.75" customHeight="1" x14ac:dyDescent="0.25">
      <c r="A242" s="91"/>
      <c r="B242" s="13" t="s">
        <v>19</v>
      </c>
      <c r="C242" s="80"/>
      <c r="D242" s="14">
        <f t="shared" si="5"/>
        <v>40.200000000000003</v>
      </c>
      <c r="E242" s="14">
        <v>40.200000000000003</v>
      </c>
      <c r="F242" s="14"/>
      <c r="G242" s="23"/>
      <c r="J242" s="46"/>
      <c r="K242" s="46"/>
      <c r="L242" s="36"/>
      <c r="M242" s="36"/>
      <c r="N242" s="36"/>
      <c r="O242" s="36"/>
      <c r="P242" s="40"/>
      <c r="Q242" s="42"/>
      <c r="R242" s="42"/>
      <c r="S242" s="42"/>
      <c r="T242" s="42"/>
    </row>
    <row r="243" spans="1:22" ht="15" customHeight="1" x14ac:dyDescent="0.25">
      <c r="A243" s="91" t="s">
        <v>99</v>
      </c>
      <c r="B243" s="24" t="s">
        <v>100</v>
      </c>
      <c r="C243" s="25"/>
      <c r="D243" s="26">
        <f t="shared" si="5"/>
        <v>339</v>
      </c>
      <c r="E243" s="26">
        <f t="shared" ref="E243:F243" si="6">SUM(E244:E247)</f>
        <v>339</v>
      </c>
      <c r="F243" s="26">
        <f t="shared" si="6"/>
        <v>288.3</v>
      </c>
      <c r="G243" s="27">
        <f>SUM(G244:G247)</f>
        <v>0</v>
      </c>
      <c r="J243" s="46"/>
      <c r="K243" s="46"/>
      <c r="L243" s="36"/>
      <c r="M243" s="36"/>
      <c r="N243" s="36"/>
      <c r="O243" s="36"/>
      <c r="P243" s="40"/>
      <c r="Q243" s="42"/>
      <c r="R243" s="42"/>
      <c r="S243" s="42"/>
      <c r="T243" s="42"/>
    </row>
    <row r="244" spans="1:22" ht="12.75" customHeight="1" x14ac:dyDescent="0.25">
      <c r="A244" s="91"/>
      <c r="B244" s="19" t="s">
        <v>20</v>
      </c>
      <c r="C244" s="72" t="s">
        <v>16</v>
      </c>
      <c r="D244" s="14">
        <f t="shared" ref="D244" si="7">SUM(G244+E244)</f>
        <v>2</v>
      </c>
      <c r="E244" s="14">
        <v>2</v>
      </c>
      <c r="F244" s="14"/>
      <c r="G244" s="44"/>
      <c r="J244" s="46"/>
      <c r="K244" s="46"/>
      <c r="L244" s="36"/>
      <c r="M244" s="36"/>
      <c r="N244" s="36"/>
      <c r="O244" s="36"/>
      <c r="P244" s="40"/>
      <c r="Q244" s="42"/>
      <c r="R244" s="42"/>
      <c r="S244" s="42"/>
      <c r="T244" s="42"/>
    </row>
    <row r="245" spans="1:22" ht="12.75" customHeight="1" x14ac:dyDescent="0.25">
      <c r="A245" s="91"/>
      <c r="B245" s="13" t="s">
        <v>15</v>
      </c>
      <c r="C245" s="78" t="s">
        <v>22</v>
      </c>
      <c r="D245" s="14">
        <f t="shared" si="5"/>
        <v>232</v>
      </c>
      <c r="E245" s="14">
        <v>232</v>
      </c>
      <c r="F245" s="14">
        <v>203.4</v>
      </c>
      <c r="G245" s="23"/>
      <c r="J245" s="46"/>
      <c r="K245" s="46"/>
      <c r="L245" s="36"/>
      <c r="M245" s="36"/>
      <c r="N245" s="36"/>
      <c r="O245" s="36"/>
      <c r="P245" s="40"/>
      <c r="Q245" s="42"/>
      <c r="R245" s="42"/>
      <c r="S245" s="42"/>
      <c r="T245" s="42"/>
    </row>
    <row r="246" spans="1:22" ht="12.75" customHeight="1" x14ac:dyDescent="0.25">
      <c r="A246" s="91"/>
      <c r="B246" s="13" t="s">
        <v>160</v>
      </c>
      <c r="C246" s="79"/>
      <c r="D246" s="14">
        <f t="shared" si="5"/>
        <v>89.3</v>
      </c>
      <c r="E246" s="14">
        <v>89.3</v>
      </c>
      <c r="F246" s="14">
        <v>84.9</v>
      </c>
      <c r="G246" s="23"/>
      <c r="J246" s="46"/>
      <c r="K246" s="46"/>
      <c r="L246" s="36"/>
      <c r="M246" s="36"/>
      <c r="N246" s="36"/>
      <c r="O246" s="36"/>
      <c r="P246" s="40"/>
      <c r="Q246" s="42"/>
      <c r="R246" s="42"/>
      <c r="S246" s="42"/>
      <c r="T246" s="42"/>
    </row>
    <row r="247" spans="1:22" ht="12.75" customHeight="1" x14ac:dyDescent="0.25">
      <c r="A247" s="91"/>
      <c r="B247" s="13" t="s">
        <v>19</v>
      </c>
      <c r="C247" s="80"/>
      <c r="D247" s="14">
        <f t="shared" si="5"/>
        <v>15.7</v>
      </c>
      <c r="E247" s="14">
        <v>15.7</v>
      </c>
      <c r="F247" s="14"/>
      <c r="G247" s="23"/>
      <c r="J247" s="46"/>
      <c r="K247" s="46"/>
      <c r="L247" s="36"/>
      <c r="M247" s="36"/>
      <c r="N247" s="36"/>
      <c r="O247" s="36"/>
      <c r="P247" s="40"/>
      <c r="Q247" s="42"/>
      <c r="R247" s="42"/>
      <c r="S247" s="42"/>
      <c r="T247" s="42"/>
    </row>
    <row r="248" spans="1:22" ht="15" customHeight="1" x14ac:dyDescent="0.25">
      <c r="A248" s="91" t="s">
        <v>101</v>
      </c>
      <c r="B248" s="24" t="s">
        <v>102</v>
      </c>
      <c r="C248" s="70"/>
      <c r="D248" s="26">
        <f t="shared" si="5"/>
        <v>339.3</v>
      </c>
      <c r="E248" s="26">
        <f>SUM(E249:E252)</f>
        <v>339.3</v>
      </c>
      <c r="F248" s="26">
        <f>SUM(F249:F252)</f>
        <v>278.5</v>
      </c>
      <c r="G248" s="27">
        <f>SUM(G249:G252)</f>
        <v>0</v>
      </c>
      <c r="J248" s="46"/>
      <c r="K248" s="46"/>
      <c r="L248" s="46"/>
      <c r="M248" s="46"/>
      <c r="N248" s="46"/>
      <c r="O248" s="46"/>
      <c r="P248" s="40"/>
      <c r="Q248" s="42"/>
      <c r="R248" s="42"/>
      <c r="S248" s="42"/>
      <c r="T248" s="42"/>
    </row>
    <row r="249" spans="1:22" ht="12.75" customHeight="1" x14ac:dyDescent="0.25">
      <c r="A249" s="91"/>
      <c r="B249" s="19" t="s">
        <v>20</v>
      </c>
      <c r="C249" s="72" t="s">
        <v>16</v>
      </c>
      <c r="D249" s="14">
        <f t="shared" si="5"/>
        <v>3.3</v>
      </c>
      <c r="E249" s="14">
        <v>3.3</v>
      </c>
      <c r="F249" s="14"/>
      <c r="G249" s="44"/>
      <c r="J249" s="46"/>
      <c r="K249" s="46"/>
      <c r="L249" s="46"/>
      <c r="M249" s="46"/>
      <c r="N249" s="46"/>
      <c r="O249" s="46"/>
      <c r="P249" s="40"/>
      <c r="Q249" s="42"/>
      <c r="R249" s="42"/>
      <c r="S249" s="42"/>
      <c r="T249" s="42"/>
    </row>
    <row r="250" spans="1:22" ht="12.75" customHeight="1" x14ac:dyDescent="0.25">
      <c r="A250" s="91"/>
      <c r="B250" s="13" t="s">
        <v>15</v>
      </c>
      <c r="C250" s="78" t="s">
        <v>22</v>
      </c>
      <c r="D250" s="14">
        <f t="shared" si="5"/>
        <v>211</v>
      </c>
      <c r="E250" s="14">
        <v>211</v>
      </c>
      <c r="F250" s="14">
        <f>182.1-2.1</f>
        <v>180</v>
      </c>
      <c r="G250" s="14"/>
      <c r="J250" s="46"/>
      <c r="K250" s="46"/>
      <c r="L250" s="36"/>
      <c r="M250" s="36"/>
      <c r="N250" s="36"/>
      <c r="O250" s="36"/>
      <c r="P250" s="40"/>
      <c r="Q250" s="42"/>
      <c r="R250" s="42"/>
      <c r="S250" s="42"/>
      <c r="T250" s="42"/>
    </row>
    <row r="251" spans="1:22" ht="12.75" customHeight="1" x14ac:dyDescent="0.25">
      <c r="A251" s="91"/>
      <c r="B251" s="13" t="s">
        <v>160</v>
      </c>
      <c r="C251" s="79"/>
      <c r="D251" s="14">
        <f t="shared" ref="D251:D309" si="8">SUM(G251+E251)</f>
        <v>103</v>
      </c>
      <c r="E251" s="14">
        <v>103</v>
      </c>
      <c r="F251" s="14">
        <v>98.5</v>
      </c>
      <c r="G251" s="23"/>
      <c r="J251" s="46"/>
      <c r="K251" s="46"/>
      <c r="L251" s="36"/>
      <c r="M251" s="36"/>
      <c r="N251" s="36"/>
      <c r="O251" s="36"/>
      <c r="P251" s="40"/>
      <c r="Q251" s="42"/>
      <c r="R251" s="42"/>
      <c r="S251" s="42"/>
      <c r="T251" s="42"/>
    </row>
    <row r="252" spans="1:22" ht="12.75" customHeight="1" x14ac:dyDescent="0.25">
      <c r="A252" s="91"/>
      <c r="B252" s="13" t="s">
        <v>19</v>
      </c>
      <c r="C252" s="80"/>
      <c r="D252" s="14">
        <f t="shared" si="8"/>
        <v>22</v>
      </c>
      <c r="E252" s="14">
        <v>22</v>
      </c>
      <c r="F252" s="14"/>
      <c r="G252" s="23"/>
      <c r="J252" s="46"/>
      <c r="K252" s="46"/>
      <c r="L252" s="36"/>
      <c r="M252" s="36"/>
      <c r="N252" s="36"/>
      <c r="O252" s="36"/>
      <c r="P252" s="40"/>
      <c r="Q252" s="42"/>
      <c r="R252" s="42"/>
      <c r="S252" s="42"/>
      <c r="T252" s="42"/>
    </row>
    <row r="253" spans="1:22" ht="15" customHeight="1" x14ac:dyDescent="0.25">
      <c r="A253" s="91" t="s">
        <v>103</v>
      </c>
      <c r="B253" s="24" t="s">
        <v>104</v>
      </c>
      <c r="C253" s="70"/>
      <c r="D253" s="26">
        <f t="shared" si="8"/>
        <v>293.39999999999998</v>
      </c>
      <c r="E253" s="26">
        <f>SUM(E254:E257)</f>
        <v>293.39999999999998</v>
      </c>
      <c r="F253" s="26">
        <f>SUM(F254:F257)</f>
        <v>242.8</v>
      </c>
      <c r="G253" s="27">
        <f>SUM(G254:G257)</f>
        <v>0</v>
      </c>
      <c r="J253" s="41"/>
      <c r="K253" s="41"/>
      <c r="L253" s="41"/>
      <c r="M253" s="41"/>
      <c r="N253" s="45"/>
      <c r="O253" s="39"/>
      <c r="P253" s="40"/>
      <c r="Q253" s="42"/>
      <c r="R253" s="42"/>
      <c r="S253" s="42"/>
      <c r="T253" s="42"/>
    </row>
    <row r="254" spans="1:22" ht="12.75" customHeight="1" x14ac:dyDescent="0.25">
      <c r="A254" s="91"/>
      <c r="B254" s="19" t="s">
        <v>20</v>
      </c>
      <c r="C254" s="72" t="s">
        <v>16</v>
      </c>
      <c r="D254" s="14">
        <f t="shared" si="8"/>
        <v>2.7</v>
      </c>
      <c r="E254" s="14">
        <v>2.7</v>
      </c>
      <c r="F254" s="14"/>
      <c r="G254" s="3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91"/>
      <c r="B255" s="13" t="s">
        <v>15</v>
      </c>
      <c r="C255" s="78" t="s">
        <v>22</v>
      </c>
      <c r="D255" s="14">
        <f t="shared" si="8"/>
        <v>198.4</v>
      </c>
      <c r="E255" s="14">
        <v>198.4</v>
      </c>
      <c r="F255" s="14">
        <v>165.8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91"/>
      <c r="B256" s="13" t="s">
        <v>160</v>
      </c>
      <c r="C256" s="79"/>
      <c r="D256" s="14">
        <f t="shared" si="8"/>
        <v>80.599999999999994</v>
      </c>
      <c r="E256" s="14">
        <v>80.599999999999994</v>
      </c>
      <c r="F256" s="14">
        <v>77</v>
      </c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2.75" customHeight="1" x14ac:dyDescent="0.25">
      <c r="A257" s="91"/>
      <c r="B257" s="13" t="s">
        <v>19</v>
      </c>
      <c r="C257" s="80"/>
      <c r="D257" s="14">
        <f t="shared" si="8"/>
        <v>11.7</v>
      </c>
      <c r="E257" s="14">
        <v>11.7</v>
      </c>
      <c r="F257" s="14"/>
      <c r="G257" s="23"/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5" customHeight="1" x14ac:dyDescent="0.25">
      <c r="A258" s="91" t="s">
        <v>105</v>
      </c>
      <c r="B258" s="24" t="s">
        <v>106</v>
      </c>
      <c r="C258" s="25"/>
      <c r="D258" s="26">
        <f t="shared" si="8"/>
        <v>210.89999999999998</v>
      </c>
      <c r="E258" s="26">
        <f t="shared" ref="E258:F258" si="9">SUM(E259:E262)</f>
        <v>210.89999999999998</v>
      </c>
      <c r="F258" s="26">
        <f t="shared" si="9"/>
        <v>162.9</v>
      </c>
      <c r="G258" s="27">
        <f>SUM(G259:G262)</f>
        <v>0</v>
      </c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75" customHeight="1" x14ac:dyDescent="0.25">
      <c r="A259" s="91"/>
      <c r="B259" s="19" t="s">
        <v>20</v>
      </c>
      <c r="C259" s="72" t="s">
        <v>16</v>
      </c>
      <c r="D259" s="14">
        <f>SUM(G259+E259)</f>
        <v>0.7</v>
      </c>
      <c r="E259" s="14">
        <v>0.7</v>
      </c>
      <c r="F259" s="14"/>
      <c r="G259" s="44"/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75" customHeight="1" x14ac:dyDescent="0.25">
      <c r="A260" s="91"/>
      <c r="B260" s="13" t="s">
        <v>15</v>
      </c>
      <c r="C260" s="78" t="s">
        <v>22</v>
      </c>
      <c r="D260" s="14">
        <f t="shared" si="8"/>
        <v>144.6</v>
      </c>
      <c r="E260" s="14">
        <v>144.6</v>
      </c>
      <c r="F260" s="14">
        <f>119.5-10.3</f>
        <v>109.2</v>
      </c>
      <c r="G260" s="23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2.75" customHeight="1" x14ac:dyDescent="0.25">
      <c r="A261" s="91"/>
      <c r="B261" s="13" t="s">
        <v>160</v>
      </c>
      <c r="C261" s="79"/>
      <c r="D261" s="14">
        <f t="shared" si="8"/>
        <v>56.1</v>
      </c>
      <c r="E261" s="14">
        <v>56.1</v>
      </c>
      <c r="F261" s="14">
        <v>53.7</v>
      </c>
      <c r="G261" s="23"/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91"/>
      <c r="B262" s="13" t="s">
        <v>19</v>
      </c>
      <c r="C262" s="80"/>
      <c r="D262" s="14">
        <f t="shared" si="8"/>
        <v>9.5</v>
      </c>
      <c r="E262" s="14">
        <v>9.5</v>
      </c>
      <c r="F262" s="14"/>
      <c r="G262" s="23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5" customHeight="1" x14ac:dyDescent="0.25">
      <c r="A263" s="91" t="s">
        <v>107</v>
      </c>
      <c r="B263" s="24" t="s">
        <v>108</v>
      </c>
      <c r="C263" s="70"/>
      <c r="D263" s="26">
        <f t="shared" si="8"/>
        <v>344.5</v>
      </c>
      <c r="E263" s="26">
        <f>SUM(E264:E267)</f>
        <v>344.5</v>
      </c>
      <c r="F263" s="26">
        <f>SUM(F264:F267)</f>
        <v>281</v>
      </c>
      <c r="G263" s="27">
        <f>SUM(G264:G267)</f>
        <v>0</v>
      </c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2.75" customHeight="1" x14ac:dyDescent="0.25">
      <c r="A264" s="91"/>
      <c r="B264" s="19" t="s">
        <v>20</v>
      </c>
      <c r="C264" s="72" t="s">
        <v>16</v>
      </c>
      <c r="D264" s="14">
        <f t="shared" si="8"/>
        <v>3</v>
      </c>
      <c r="E264" s="14">
        <v>3</v>
      </c>
      <c r="F264" s="14"/>
      <c r="G264" s="44"/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91"/>
      <c r="B265" s="13" t="s">
        <v>15</v>
      </c>
      <c r="C265" s="78" t="s">
        <v>22</v>
      </c>
      <c r="D265" s="14">
        <f t="shared" si="8"/>
        <v>211.3</v>
      </c>
      <c r="E265" s="14">
        <v>211.3</v>
      </c>
      <c r="F265" s="14">
        <v>173.3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91"/>
      <c r="B266" s="13" t="s">
        <v>160</v>
      </c>
      <c r="C266" s="79"/>
      <c r="D266" s="14">
        <f t="shared" si="8"/>
        <v>112.8</v>
      </c>
      <c r="E266" s="14">
        <v>112.8</v>
      </c>
      <c r="F266" s="14">
        <v>107.7</v>
      </c>
      <c r="G266" s="23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91"/>
      <c r="B267" s="13" t="s">
        <v>19</v>
      </c>
      <c r="C267" s="80"/>
      <c r="D267" s="14">
        <f t="shared" si="8"/>
        <v>17.399999999999999</v>
      </c>
      <c r="E267" s="14">
        <v>17.399999999999999</v>
      </c>
      <c r="F267" s="14"/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5" customHeight="1" x14ac:dyDescent="0.25">
      <c r="A268" s="91" t="s">
        <v>109</v>
      </c>
      <c r="B268" s="24" t="s">
        <v>110</v>
      </c>
      <c r="C268" s="70"/>
      <c r="D268" s="26">
        <f t="shared" si="8"/>
        <v>559.5</v>
      </c>
      <c r="E268" s="26">
        <f>SUM(E269:E272)</f>
        <v>559.5</v>
      </c>
      <c r="F268" s="26">
        <f>SUM(F269:F272)</f>
        <v>455</v>
      </c>
      <c r="G268" s="27">
        <f>SUM(G269:G272)</f>
        <v>0</v>
      </c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91"/>
      <c r="B269" s="19" t="s">
        <v>20</v>
      </c>
      <c r="C269" s="72" t="s">
        <v>16</v>
      </c>
      <c r="D269" s="14">
        <f t="shared" si="8"/>
        <v>3.3</v>
      </c>
      <c r="E269" s="14">
        <v>3.3</v>
      </c>
      <c r="F269" s="14"/>
      <c r="G269" s="44"/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2.75" customHeight="1" x14ac:dyDescent="0.25">
      <c r="A270" s="91"/>
      <c r="B270" s="13" t="s">
        <v>15</v>
      </c>
      <c r="C270" s="78" t="s">
        <v>22</v>
      </c>
      <c r="D270" s="14">
        <f t="shared" si="8"/>
        <v>336.5</v>
      </c>
      <c r="E270" s="14">
        <v>336.5</v>
      </c>
      <c r="F270" s="14">
        <v>280.39999999999998</v>
      </c>
      <c r="G270" s="14"/>
      <c r="H270" s="18"/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91"/>
      <c r="B271" s="13" t="s">
        <v>160</v>
      </c>
      <c r="C271" s="79"/>
      <c r="D271" s="14">
        <f t="shared" si="8"/>
        <v>182.9</v>
      </c>
      <c r="E271" s="14">
        <v>182.9</v>
      </c>
      <c r="F271" s="14">
        <v>174.6</v>
      </c>
      <c r="G271" s="23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91"/>
      <c r="B272" s="13" t="s">
        <v>19</v>
      </c>
      <c r="C272" s="80"/>
      <c r="D272" s="14">
        <f t="shared" si="8"/>
        <v>36.799999999999997</v>
      </c>
      <c r="E272" s="14">
        <v>36.799999999999997</v>
      </c>
      <c r="F272" s="14"/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5" customHeight="1" x14ac:dyDescent="0.25">
      <c r="A273" s="81" t="s">
        <v>111</v>
      </c>
      <c r="B273" s="24" t="s">
        <v>112</v>
      </c>
      <c r="C273" s="25"/>
      <c r="D273" s="26">
        <f t="shared" si="8"/>
        <v>236.9</v>
      </c>
      <c r="E273" s="26">
        <f t="shared" ref="E273:F273" si="10">SUM(E274:E276)</f>
        <v>236.1</v>
      </c>
      <c r="F273" s="26">
        <f t="shared" si="10"/>
        <v>139.6</v>
      </c>
      <c r="G273" s="26">
        <f>SUM(G274:G276)</f>
        <v>0.8</v>
      </c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2.95" customHeight="1" x14ac:dyDescent="0.25">
      <c r="A274" s="82"/>
      <c r="B274" s="13" t="s">
        <v>15</v>
      </c>
      <c r="C274" s="78" t="s">
        <v>22</v>
      </c>
      <c r="D274" s="14">
        <f t="shared" si="8"/>
        <v>190.8</v>
      </c>
      <c r="E274" s="14">
        <v>190.8</v>
      </c>
      <c r="F274" s="14">
        <v>135.1</v>
      </c>
      <c r="G274" s="14"/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95" customHeight="1" x14ac:dyDescent="0.25">
      <c r="A275" s="82"/>
      <c r="B275" s="13" t="s">
        <v>19</v>
      </c>
      <c r="C275" s="80"/>
      <c r="D275" s="14">
        <f t="shared" si="8"/>
        <v>25</v>
      </c>
      <c r="E275" s="14">
        <v>24.2</v>
      </c>
      <c r="F275" s="14"/>
      <c r="G275" s="14">
        <v>0.8</v>
      </c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95" customHeight="1" x14ac:dyDescent="0.25">
      <c r="A276" s="83"/>
      <c r="B276" s="13" t="s">
        <v>15</v>
      </c>
      <c r="C276" s="74" t="s">
        <v>27</v>
      </c>
      <c r="D276" s="14">
        <f t="shared" si="8"/>
        <v>21.1</v>
      </c>
      <c r="E276" s="14">
        <v>21.1</v>
      </c>
      <c r="F276" s="14">
        <v>4.5</v>
      </c>
      <c r="G276" s="14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5" customHeight="1" x14ac:dyDescent="0.25">
      <c r="A277" s="81" t="s">
        <v>113</v>
      </c>
      <c r="B277" s="24" t="s">
        <v>114</v>
      </c>
      <c r="C277" s="73"/>
      <c r="D277" s="26">
        <f t="shared" si="8"/>
        <v>141.1</v>
      </c>
      <c r="E277" s="26">
        <f>SUM(E278:E279)</f>
        <v>141.1</v>
      </c>
      <c r="F277" s="26">
        <f>SUM(F278:F279)</f>
        <v>134.30000000000001</v>
      </c>
      <c r="G277" s="27">
        <f>SUM(G278:G279)</f>
        <v>0</v>
      </c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1"/>
      <c r="B278" s="13" t="s">
        <v>15</v>
      </c>
      <c r="C278" s="78" t="s">
        <v>22</v>
      </c>
      <c r="D278" s="14">
        <f t="shared" si="8"/>
        <v>76</v>
      </c>
      <c r="E278" s="14">
        <v>76</v>
      </c>
      <c r="F278" s="14">
        <v>70.099999999999994</v>
      </c>
      <c r="G278" s="14"/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1"/>
      <c r="B279" s="13" t="s">
        <v>160</v>
      </c>
      <c r="C279" s="80"/>
      <c r="D279" s="14">
        <f t="shared" si="8"/>
        <v>65.099999999999994</v>
      </c>
      <c r="E279" s="14">
        <v>65.099999999999994</v>
      </c>
      <c r="F279" s="14">
        <v>64.2</v>
      </c>
      <c r="G279" s="23"/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5" customHeight="1" x14ac:dyDescent="0.25">
      <c r="A280" s="91" t="s">
        <v>115</v>
      </c>
      <c r="B280" s="24" t="s">
        <v>116</v>
      </c>
      <c r="C280" s="73"/>
      <c r="D280" s="26">
        <f t="shared" si="8"/>
        <v>409.09999999999997</v>
      </c>
      <c r="E280" s="26">
        <f>SUM(E281:E285)</f>
        <v>405.7</v>
      </c>
      <c r="F280" s="26">
        <f>SUM(F281:F285)</f>
        <v>364.89999999999992</v>
      </c>
      <c r="G280" s="26">
        <f>SUM(G281:G285)</f>
        <v>3.4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2.75" customHeight="1" x14ac:dyDescent="0.25">
      <c r="A281" s="91"/>
      <c r="B281" s="13" t="s">
        <v>23</v>
      </c>
      <c r="C281" s="78" t="s">
        <v>22</v>
      </c>
      <c r="D281" s="14">
        <f t="shared" ref="D281" si="11">SUM(G281+E281)</f>
        <v>0.5</v>
      </c>
      <c r="E281" s="14">
        <v>0.5</v>
      </c>
      <c r="F281" s="14">
        <v>0.4</v>
      </c>
      <c r="G281" s="14"/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91"/>
      <c r="B282" s="13" t="s">
        <v>15</v>
      </c>
      <c r="C282" s="79"/>
      <c r="D282" s="14">
        <f t="shared" si="8"/>
        <v>331.5</v>
      </c>
      <c r="E282" s="14">
        <v>331.5</v>
      </c>
      <c r="F282" s="14">
        <v>298.39999999999998</v>
      </c>
      <c r="G282" s="14"/>
      <c r="H282" s="18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91"/>
      <c r="B283" s="13" t="s">
        <v>160</v>
      </c>
      <c r="C283" s="79"/>
      <c r="D283" s="14">
        <f t="shared" si="8"/>
        <v>52.7</v>
      </c>
      <c r="E283" s="14">
        <v>52.7</v>
      </c>
      <c r="F283" s="14">
        <v>51.9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91"/>
      <c r="B284" s="13" t="s">
        <v>117</v>
      </c>
      <c r="C284" s="79"/>
      <c r="D284" s="14">
        <f t="shared" si="8"/>
        <v>14.4</v>
      </c>
      <c r="E284" s="14">
        <v>14.4</v>
      </c>
      <c r="F284" s="14">
        <v>14.2</v>
      </c>
      <c r="G284" s="14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2.75" customHeight="1" x14ac:dyDescent="0.25">
      <c r="A285" s="91"/>
      <c r="B285" s="13" t="s">
        <v>19</v>
      </c>
      <c r="C285" s="80"/>
      <c r="D285" s="14">
        <f t="shared" si="8"/>
        <v>10</v>
      </c>
      <c r="E285" s="14">
        <v>6.6</v>
      </c>
      <c r="F285" s="14"/>
      <c r="G285" s="14">
        <v>3.4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5" customHeight="1" x14ac:dyDescent="0.25">
      <c r="A286" s="91" t="s">
        <v>118</v>
      </c>
      <c r="B286" s="24" t="s">
        <v>119</v>
      </c>
      <c r="C286" s="25"/>
      <c r="D286" s="26">
        <f t="shared" si="8"/>
        <v>974.7</v>
      </c>
      <c r="E286" s="26">
        <f>SUM(E287:E289)</f>
        <v>970.1</v>
      </c>
      <c r="F286" s="26">
        <f>SUM(F287:F289)</f>
        <v>832.4</v>
      </c>
      <c r="G286" s="26">
        <f>SUM(G287:G289)</f>
        <v>4.5999999999999996</v>
      </c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91"/>
      <c r="B287" s="13" t="s">
        <v>23</v>
      </c>
      <c r="C287" s="72" t="s">
        <v>22</v>
      </c>
      <c r="D287" s="14">
        <f t="shared" si="8"/>
        <v>4.7</v>
      </c>
      <c r="E287" s="14">
        <v>4.7</v>
      </c>
      <c r="F287" s="14"/>
      <c r="G287" s="14"/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91"/>
      <c r="B288" s="13" t="s">
        <v>15</v>
      </c>
      <c r="C288" s="78" t="s">
        <v>27</v>
      </c>
      <c r="D288" s="14">
        <f t="shared" si="8"/>
        <v>967.9</v>
      </c>
      <c r="E288" s="14">
        <v>963.3</v>
      </c>
      <c r="F288" s="14">
        <v>832.4</v>
      </c>
      <c r="G288" s="14">
        <v>4.5999999999999996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91"/>
      <c r="B289" s="13" t="s">
        <v>19</v>
      </c>
      <c r="C289" s="80"/>
      <c r="D289" s="14">
        <f t="shared" si="8"/>
        <v>2.1</v>
      </c>
      <c r="E289" s="14">
        <v>2.1</v>
      </c>
      <c r="F289" s="14"/>
      <c r="G289" s="23"/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5" customHeight="1" x14ac:dyDescent="0.25">
      <c r="A290" s="81" t="s">
        <v>120</v>
      </c>
      <c r="B290" s="24" t="s">
        <v>121</v>
      </c>
      <c r="C290" s="25"/>
      <c r="D290" s="26">
        <f t="shared" si="8"/>
        <v>146.80000000000001</v>
      </c>
      <c r="E290" s="26">
        <f t="shared" ref="E290:F290" si="12">SUM(E291:E296)</f>
        <v>130.80000000000001</v>
      </c>
      <c r="F290" s="26">
        <f t="shared" si="12"/>
        <v>97.1</v>
      </c>
      <c r="G290" s="26">
        <f>SUM(G291:G296)</f>
        <v>16</v>
      </c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2.75" customHeight="1" x14ac:dyDescent="0.25">
      <c r="A291" s="82"/>
      <c r="B291" s="13" t="s">
        <v>23</v>
      </c>
      <c r="C291" s="72" t="s">
        <v>22</v>
      </c>
      <c r="D291" s="14">
        <f t="shared" si="8"/>
        <v>1</v>
      </c>
      <c r="E291" s="14">
        <v>1</v>
      </c>
      <c r="F291" s="14"/>
      <c r="G291" s="14"/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15</v>
      </c>
      <c r="C292" s="78" t="s">
        <v>27</v>
      </c>
      <c r="D292" s="14">
        <f t="shared" si="8"/>
        <v>126.4</v>
      </c>
      <c r="E292" s="14">
        <v>126.4</v>
      </c>
      <c r="F292" s="14">
        <v>97.1</v>
      </c>
      <c r="G292" s="23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19</v>
      </c>
      <c r="C293" s="80"/>
      <c r="D293" s="14">
        <f t="shared" si="8"/>
        <v>3.4</v>
      </c>
      <c r="E293" s="14">
        <v>3.4</v>
      </c>
      <c r="F293" s="14"/>
      <c r="G293" s="23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2"/>
      <c r="B294" s="13" t="s">
        <v>21</v>
      </c>
      <c r="C294" s="78" t="s">
        <v>35</v>
      </c>
      <c r="D294" s="14">
        <f t="shared" si="8"/>
        <v>5.0999999999999996</v>
      </c>
      <c r="E294" s="14"/>
      <c r="F294" s="14"/>
      <c r="G294" s="14">
        <v>5.0999999999999996</v>
      </c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2.75" customHeight="1" x14ac:dyDescent="0.25">
      <c r="A295" s="82"/>
      <c r="B295" s="13" t="s">
        <v>24</v>
      </c>
      <c r="C295" s="79"/>
      <c r="D295" s="14">
        <f t="shared" ref="D295" si="13">SUM(G295+E295)</f>
        <v>0.9</v>
      </c>
      <c r="E295" s="14"/>
      <c r="F295" s="14"/>
      <c r="G295" s="14">
        <v>0.9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3"/>
      <c r="B296" s="13" t="s">
        <v>15</v>
      </c>
      <c r="C296" s="80"/>
      <c r="D296" s="14">
        <f t="shared" si="8"/>
        <v>10</v>
      </c>
      <c r="E296" s="14"/>
      <c r="F296" s="14"/>
      <c r="G296" s="14">
        <v>10</v>
      </c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5" customHeight="1" x14ac:dyDescent="0.25">
      <c r="A297" s="91" t="s">
        <v>122</v>
      </c>
      <c r="B297" s="24" t="s">
        <v>123</v>
      </c>
      <c r="C297" s="25"/>
      <c r="D297" s="26">
        <f t="shared" si="8"/>
        <v>179.5</v>
      </c>
      <c r="E297" s="26">
        <f t="shared" ref="E297:F297" si="14">SUM(E299+E300+E298)</f>
        <v>179.5</v>
      </c>
      <c r="F297" s="26">
        <f t="shared" si="14"/>
        <v>125.2</v>
      </c>
      <c r="G297" s="27">
        <f>SUM(G299+G300+G298)</f>
        <v>0</v>
      </c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91"/>
      <c r="B298" s="13" t="s">
        <v>23</v>
      </c>
      <c r="C298" s="72" t="s">
        <v>22</v>
      </c>
      <c r="D298" s="14">
        <f t="shared" ref="D298" si="15">SUM(G298+E298)</f>
        <v>2.1</v>
      </c>
      <c r="E298" s="14">
        <v>2.1</v>
      </c>
      <c r="F298" s="26"/>
      <c r="G298" s="27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2.75" customHeight="1" x14ac:dyDescent="0.25">
      <c r="A299" s="91"/>
      <c r="B299" s="13" t="s">
        <v>15</v>
      </c>
      <c r="C299" s="78" t="s">
        <v>27</v>
      </c>
      <c r="D299" s="14">
        <f t="shared" si="8"/>
        <v>174.4</v>
      </c>
      <c r="E299" s="14">
        <v>174.4</v>
      </c>
      <c r="F299" s="14">
        <v>125.2</v>
      </c>
      <c r="G299" s="23"/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91"/>
      <c r="B300" s="13" t="s">
        <v>19</v>
      </c>
      <c r="C300" s="80"/>
      <c r="D300" s="14">
        <f t="shared" si="8"/>
        <v>3</v>
      </c>
      <c r="E300" s="14">
        <v>3</v>
      </c>
      <c r="F300" s="14"/>
      <c r="G300" s="23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5" customHeight="1" x14ac:dyDescent="0.25">
      <c r="A301" s="91" t="s">
        <v>124</v>
      </c>
      <c r="B301" s="24" t="s">
        <v>125</v>
      </c>
      <c r="C301" s="70"/>
      <c r="D301" s="26">
        <f t="shared" si="8"/>
        <v>325.5</v>
      </c>
      <c r="E301" s="26">
        <f t="shared" ref="E301:F301" si="16">SUM(E302:E306)</f>
        <v>155.5</v>
      </c>
      <c r="F301" s="26">
        <f t="shared" si="16"/>
        <v>123.7</v>
      </c>
      <c r="G301" s="26">
        <f>SUM(G302:G306)</f>
        <v>170</v>
      </c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91"/>
      <c r="B302" s="13" t="s">
        <v>23</v>
      </c>
      <c r="C302" s="72" t="s">
        <v>22</v>
      </c>
      <c r="D302" s="14">
        <f t="shared" si="8"/>
        <v>4.9000000000000004</v>
      </c>
      <c r="E302" s="14">
        <v>4.9000000000000004</v>
      </c>
      <c r="F302" s="14"/>
      <c r="G302" s="14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2.75" customHeight="1" x14ac:dyDescent="0.25">
      <c r="A303" s="91"/>
      <c r="B303" s="13" t="s">
        <v>21</v>
      </c>
      <c r="C303" s="78" t="s">
        <v>27</v>
      </c>
      <c r="D303" s="14">
        <f t="shared" si="8"/>
        <v>144.5</v>
      </c>
      <c r="E303" s="14"/>
      <c r="F303" s="14"/>
      <c r="G303" s="14">
        <v>144.5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91"/>
      <c r="B304" s="13" t="s">
        <v>24</v>
      </c>
      <c r="C304" s="79"/>
      <c r="D304" s="14">
        <f t="shared" si="8"/>
        <v>25.5</v>
      </c>
      <c r="E304" s="14"/>
      <c r="F304" s="14"/>
      <c r="G304" s="14">
        <v>25.5</v>
      </c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91"/>
      <c r="B305" s="13" t="s">
        <v>15</v>
      </c>
      <c r="C305" s="79"/>
      <c r="D305" s="14">
        <f t="shared" si="8"/>
        <v>149.19999999999999</v>
      </c>
      <c r="E305" s="14">
        <v>149.19999999999999</v>
      </c>
      <c r="F305" s="14">
        <v>123.7</v>
      </c>
      <c r="G305" s="14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2.75" customHeight="1" x14ac:dyDescent="0.25">
      <c r="A306" s="91"/>
      <c r="B306" s="13" t="s">
        <v>19</v>
      </c>
      <c r="C306" s="80"/>
      <c r="D306" s="14">
        <f t="shared" si="8"/>
        <v>1.4</v>
      </c>
      <c r="E306" s="14">
        <v>1.4</v>
      </c>
      <c r="F306" s="14"/>
      <c r="G306" s="14"/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5" customHeight="1" x14ac:dyDescent="0.25">
      <c r="A307" s="91" t="s">
        <v>126</v>
      </c>
      <c r="B307" s="24" t="s">
        <v>127</v>
      </c>
      <c r="C307" s="25"/>
      <c r="D307" s="26">
        <f t="shared" si="8"/>
        <v>240.50000000000003</v>
      </c>
      <c r="E307" s="26">
        <f>SUM(E308+E309+E310)</f>
        <v>232.70000000000002</v>
      </c>
      <c r="F307" s="26">
        <f>SUM(F308+F309+F310)</f>
        <v>189.6</v>
      </c>
      <c r="G307" s="26">
        <f>SUM(G308+G309+G310)</f>
        <v>7.8</v>
      </c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91"/>
      <c r="B308" s="13" t="s">
        <v>23</v>
      </c>
      <c r="C308" s="72" t="s">
        <v>22</v>
      </c>
      <c r="D308" s="14">
        <f t="shared" si="8"/>
        <v>1.6</v>
      </c>
      <c r="E308" s="14">
        <v>1.6</v>
      </c>
      <c r="F308" s="14"/>
      <c r="G308" s="14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91"/>
      <c r="B309" s="13" t="s">
        <v>15</v>
      </c>
      <c r="C309" s="78" t="s">
        <v>27</v>
      </c>
      <c r="D309" s="14">
        <f t="shared" si="8"/>
        <v>233.60000000000002</v>
      </c>
      <c r="E309" s="14">
        <v>225.8</v>
      </c>
      <c r="F309" s="14">
        <v>189.6</v>
      </c>
      <c r="G309" s="14">
        <v>7.8</v>
      </c>
      <c r="H309" s="18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2.75" customHeight="1" x14ac:dyDescent="0.25">
      <c r="A310" s="91"/>
      <c r="B310" s="13" t="s">
        <v>19</v>
      </c>
      <c r="C310" s="80"/>
      <c r="D310" s="14">
        <f t="shared" ref="D310:D360" si="17">SUM(G310+E310)</f>
        <v>5.3</v>
      </c>
      <c r="E310" s="14">
        <v>5.3</v>
      </c>
      <c r="F310" s="14"/>
      <c r="G310" s="23"/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5" customHeight="1" x14ac:dyDescent="0.25">
      <c r="A311" s="91" t="s">
        <v>128</v>
      </c>
      <c r="B311" s="24" t="s">
        <v>129</v>
      </c>
      <c r="C311" s="70"/>
      <c r="D311" s="26">
        <f t="shared" si="17"/>
        <v>153.70000000000002</v>
      </c>
      <c r="E311" s="26">
        <f>SUM(E312+E313+E314)</f>
        <v>152.9</v>
      </c>
      <c r="F311" s="26">
        <f>SUM(F312+F313+F314)</f>
        <v>118</v>
      </c>
      <c r="G311" s="26">
        <f>SUM(G312+G313+G314)</f>
        <v>0.8</v>
      </c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91"/>
      <c r="B312" s="13" t="s">
        <v>23</v>
      </c>
      <c r="C312" s="72" t="s">
        <v>22</v>
      </c>
      <c r="D312" s="14">
        <f t="shared" si="17"/>
        <v>1.3</v>
      </c>
      <c r="E312" s="14">
        <v>1.3</v>
      </c>
      <c r="F312" s="14"/>
      <c r="G312" s="14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91"/>
      <c r="B313" s="13" t="s">
        <v>15</v>
      </c>
      <c r="C313" s="78" t="s">
        <v>27</v>
      </c>
      <c r="D313" s="14">
        <f t="shared" si="17"/>
        <v>150.80000000000001</v>
      </c>
      <c r="E313" s="14">
        <v>150</v>
      </c>
      <c r="F313" s="14">
        <v>118</v>
      </c>
      <c r="G313" s="14">
        <v>0.8</v>
      </c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2.75" customHeight="1" x14ac:dyDescent="0.25">
      <c r="A314" s="91"/>
      <c r="B314" s="13" t="s">
        <v>19</v>
      </c>
      <c r="C314" s="80"/>
      <c r="D314" s="14">
        <f t="shared" si="17"/>
        <v>1.6</v>
      </c>
      <c r="E314" s="14">
        <v>1.6</v>
      </c>
      <c r="F314" s="14"/>
      <c r="G314" s="23"/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5" customHeight="1" x14ac:dyDescent="0.25">
      <c r="A315" s="91" t="s">
        <v>130</v>
      </c>
      <c r="B315" s="24" t="s">
        <v>131</v>
      </c>
      <c r="C315" s="70"/>
      <c r="D315" s="26">
        <f t="shared" si="17"/>
        <v>173.5</v>
      </c>
      <c r="E315" s="26">
        <f>SUM(E316+E317+E318)</f>
        <v>173.5</v>
      </c>
      <c r="F315" s="26">
        <f>SUM(F316+F317+F318)</f>
        <v>129.19999999999999</v>
      </c>
      <c r="G315" s="27">
        <f>SUM(G316+G317+G318)</f>
        <v>0</v>
      </c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91"/>
      <c r="B316" s="13" t="s">
        <v>23</v>
      </c>
      <c r="C316" s="72" t="s">
        <v>22</v>
      </c>
      <c r="D316" s="14">
        <f t="shared" si="17"/>
        <v>4.8</v>
      </c>
      <c r="E316" s="14">
        <v>4.8</v>
      </c>
      <c r="F316" s="14"/>
      <c r="G316" s="14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91"/>
      <c r="B317" s="13" t="s">
        <v>15</v>
      </c>
      <c r="C317" s="78" t="s">
        <v>27</v>
      </c>
      <c r="D317" s="14">
        <f t="shared" si="17"/>
        <v>165.2</v>
      </c>
      <c r="E317" s="14">
        <v>165.2</v>
      </c>
      <c r="F317" s="14">
        <v>129.19999999999999</v>
      </c>
      <c r="G317" s="23"/>
      <c r="N317" s="45"/>
      <c r="O317" s="39"/>
      <c r="P317" s="40"/>
      <c r="Q317" s="42"/>
      <c r="R317" s="42"/>
      <c r="S317" s="42"/>
      <c r="T317" s="42"/>
      <c r="U317" s="41"/>
      <c r="V317" s="41"/>
    </row>
    <row r="318" spans="1:22" ht="12.75" customHeight="1" x14ac:dyDescent="0.25">
      <c r="A318" s="91"/>
      <c r="B318" s="13" t="s">
        <v>19</v>
      </c>
      <c r="C318" s="80"/>
      <c r="D318" s="14">
        <f t="shared" si="17"/>
        <v>3.5</v>
      </c>
      <c r="E318" s="14">
        <v>3.5</v>
      </c>
      <c r="F318" s="14"/>
      <c r="G318" s="23"/>
      <c r="N318" s="45"/>
      <c r="O318" s="39"/>
      <c r="P318" s="40"/>
      <c r="Q318" s="42"/>
      <c r="R318" s="42"/>
      <c r="S318" s="42"/>
      <c r="T318" s="42"/>
      <c r="U318" s="41"/>
      <c r="V318" s="41"/>
    </row>
    <row r="319" spans="1:22" ht="15" customHeight="1" x14ac:dyDescent="0.25">
      <c r="A319" s="91" t="s">
        <v>132</v>
      </c>
      <c r="B319" s="24" t="s">
        <v>133</v>
      </c>
      <c r="C319" s="70"/>
      <c r="D319" s="26">
        <f t="shared" si="17"/>
        <v>116.89999999999999</v>
      </c>
      <c r="E319" s="26">
        <f>SUM(E320+E321)</f>
        <v>116.1</v>
      </c>
      <c r="F319" s="26">
        <f>SUM(F320+F321)</f>
        <v>86.8</v>
      </c>
      <c r="G319" s="26">
        <f>SUM(G320+G321)</f>
        <v>0.8</v>
      </c>
      <c r="N319" s="45"/>
      <c r="O319" s="39"/>
      <c r="P319" s="40"/>
      <c r="Q319" s="42"/>
      <c r="R319" s="42"/>
      <c r="S319" s="42"/>
      <c r="T319" s="42"/>
      <c r="U319" s="41"/>
      <c r="V319" s="41"/>
    </row>
    <row r="320" spans="1:22" ht="12.75" customHeight="1" x14ac:dyDescent="0.25">
      <c r="A320" s="91"/>
      <c r="B320" s="13" t="s">
        <v>15</v>
      </c>
      <c r="C320" s="78" t="s">
        <v>27</v>
      </c>
      <c r="D320" s="14">
        <f t="shared" si="17"/>
        <v>116.39999999999999</v>
      </c>
      <c r="E320" s="14">
        <v>115.6</v>
      </c>
      <c r="F320" s="14">
        <v>86.8</v>
      </c>
      <c r="G320" s="14">
        <v>0.8</v>
      </c>
      <c r="N320" s="45"/>
      <c r="O320" s="39"/>
      <c r="P320" s="40"/>
      <c r="Q320" s="42"/>
      <c r="R320" s="42"/>
      <c r="S320" s="42"/>
      <c r="T320" s="42"/>
      <c r="U320" s="41"/>
      <c r="V320" s="41"/>
    </row>
    <row r="321" spans="1:22" ht="12.75" customHeight="1" x14ac:dyDescent="0.25">
      <c r="A321" s="91"/>
      <c r="B321" s="13" t="s">
        <v>19</v>
      </c>
      <c r="C321" s="80"/>
      <c r="D321" s="14">
        <f t="shared" si="17"/>
        <v>0.5</v>
      </c>
      <c r="E321" s="14">
        <v>0.5</v>
      </c>
      <c r="F321" s="14"/>
      <c r="G321" s="23"/>
      <c r="N321" s="45"/>
      <c r="O321" s="39"/>
      <c r="P321" s="40"/>
      <c r="Q321" s="42"/>
      <c r="R321" s="42"/>
      <c r="S321" s="42"/>
      <c r="T321" s="42"/>
      <c r="U321" s="41"/>
      <c r="V321" s="41"/>
    </row>
    <row r="322" spans="1:22" ht="15" customHeight="1" x14ac:dyDescent="0.25">
      <c r="A322" s="91" t="s">
        <v>134</v>
      </c>
      <c r="B322" s="24" t="s">
        <v>135</v>
      </c>
      <c r="C322" s="70"/>
      <c r="D322" s="26">
        <f t="shared" si="17"/>
        <v>159.6</v>
      </c>
      <c r="E322" s="26">
        <f>SUM(E323+E324+E325)</f>
        <v>159.6</v>
      </c>
      <c r="F322" s="26">
        <f>SUM(F323+F324+F325)</f>
        <v>124.7</v>
      </c>
      <c r="G322" s="27">
        <f>SUM(G323+G324+G325)</f>
        <v>0</v>
      </c>
      <c r="N322" s="45"/>
      <c r="O322" s="39"/>
      <c r="P322" s="40"/>
      <c r="Q322" s="42"/>
      <c r="R322" s="42"/>
      <c r="S322" s="42"/>
      <c r="T322" s="42"/>
      <c r="U322" s="41"/>
      <c r="V322" s="41"/>
    </row>
    <row r="323" spans="1:22" ht="12.75" customHeight="1" x14ac:dyDescent="0.25">
      <c r="A323" s="91"/>
      <c r="B323" s="13" t="s">
        <v>23</v>
      </c>
      <c r="C323" s="72" t="s">
        <v>22</v>
      </c>
      <c r="D323" s="14">
        <f t="shared" si="17"/>
        <v>4.2</v>
      </c>
      <c r="E323" s="14">
        <v>4.2</v>
      </c>
      <c r="F323" s="14"/>
      <c r="G323" s="14"/>
      <c r="N323" s="45"/>
      <c r="O323" s="39"/>
      <c r="P323" s="40"/>
      <c r="Q323" s="42"/>
      <c r="R323" s="42"/>
      <c r="S323" s="42"/>
      <c r="T323" s="42"/>
      <c r="U323" s="41"/>
      <c r="V323" s="41"/>
    </row>
    <row r="324" spans="1:22" ht="12.75" customHeight="1" x14ac:dyDescent="0.25">
      <c r="A324" s="91"/>
      <c r="B324" s="13" t="s">
        <v>15</v>
      </c>
      <c r="C324" s="78" t="s">
        <v>27</v>
      </c>
      <c r="D324" s="14">
        <f t="shared" si="17"/>
        <v>153.9</v>
      </c>
      <c r="E324" s="14">
        <v>153.9</v>
      </c>
      <c r="F324" s="14">
        <v>124.7</v>
      </c>
      <c r="G324" s="23"/>
      <c r="N324" s="45"/>
      <c r="O324" s="39"/>
      <c r="P324" s="40"/>
      <c r="Q324" s="42"/>
      <c r="R324" s="42"/>
      <c r="S324" s="42"/>
      <c r="T324" s="42"/>
      <c r="U324" s="41"/>
      <c r="V324" s="41"/>
    </row>
    <row r="325" spans="1:22" ht="12.75" customHeight="1" x14ac:dyDescent="0.25">
      <c r="A325" s="91"/>
      <c r="B325" s="13" t="s">
        <v>19</v>
      </c>
      <c r="C325" s="80"/>
      <c r="D325" s="14">
        <f t="shared" si="17"/>
        <v>1.5</v>
      </c>
      <c r="E325" s="14">
        <v>1.5</v>
      </c>
      <c r="F325" s="14"/>
      <c r="G325" s="23"/>
      <c r="N325" s="45"/>
      <c r="O325" s="39"/>
      <c r="P325" s="40"/>
      <c r="Q325" s="42"/>
      <c r="R325" s="42"/>
      <c r="S325" s="42"/>
      <c r="T325" s="42"/>
      <c r="U325" s="41"/>
      <c r="V325" s="41"/>
    </row>
    <row r="326" spans="1:22" ht="15" customHeight="1" x14ac:dyDescent="0.25">
      <c r="A326" s="91" t="s">
        <v>136</v>
      </c>
      <c r="B326" s="24" t="s">
        <v>137</v>
      </c>
      <c r="C326" s="70"/>
      <c r="D326" s="26">
        <f t="shared" si="17"/>
        <v>149.30000000000001</v>
      </c>
      <c r="E326" s="26">
        <f>SUM(E328+E327+E329)</f>
        <v>148.70000000000002</v>
      </c>
      <c r="F326" s="26">
        <f>SUM(F328+F327+F329)</f>
        <v>116.9</v>
      </c>
      <c r="G326" s="26">
        <f>SUM(G328+G327+G329)</f>
        <v>0.6</v>
      </c>
      <c r="N326" s="45"/>
      <c r="O326" s="39"/>
      <c r="P326" s="40"/>
      <c r="Q326" s="42"/>
      <c r="R326" s="42"/>
      <c r="S326" s="42"/>
      <c r="T326" s="42"/>
      <c r="U326" s="41"/>
      <c r="V326" s="41"/>
    </row>
    <row r="327" spans="1:22" ht="12.75" customHeight="1" x14ac:dyDescent="0.25">
      <c r="A327" s="91"/>
      <c r="B327" s="13" t="s">
        <v>23</v>
      </c>
      <c r="C327" s="72" t="s">
        <v>22</v>
      </c>
      <c r="D327" s="14">
        <f>SUM(G327+E327)</f>
        <v>5.6</v>
      </c>
      <c r="E327" s="14">
        <v>5.6</v>
      </c>
      <c r="F327" s="14"/>
      <c r="G327" s="26"/>
      <c r="N327" s="45"/>
      <c r="O327" s="39"/>
      <c r="P327" s="40"/>
      <c r="Q327" s="42"/>
      <c r="R327" s="42"/>
      <c r="S327" s="42"/>
      <c r="T327" s="42"/>
      <c r="U327" s="41"/>
      <c r="V327" s="41"/>
    </row>
    <row r="328" spans="1:22" ht="12.75" customHeight="1" x14ac:dyDescent="0.25">
      <c r="A328" s="91"/>
      <c r="B328" s="13" t="s">
        <v>15</v>
      </c>
      <c r="C328" s="78" t="s">
        <v>27</v>
      </c>
      <c r="D328" s="14">
        <f t="shared" si="17"/>
        <v>142.4</v>
      </c>
      <c r="E328" s="14">
        <v>141.80000000000001</v>
      </c>
      <c r="F328" s="14">
        <v>116.9</v>
      </c>
      <c r="G328" s="14">
        <v>0.6</v>
      </c>
      <c r="N328" s="45"/>
      <c r="O328" s="39"/>
      <c r="P328" s="40"/>
      <c r="Q328" s="42"/>
      <c r="R328" s="42"/>
      <c r="S328" s="42"/>
      <c r="T328" s="42"/>
      <c r="U328" s="41"/>
      <c r="V328" s="41"/>
    </row>
    <row r="329" spans="1:22" ht="12.75" customHeight="1" x14ac:dyDescent="0.25">
      <c r="A329" s="91"/>
      <c r="B329" s="13" t="s">
        <v>19</v>
      </c>
      <c r="C329" s="80"/>
      <c r="D329" s="14">
        <f t="shared" si="17"/>
        <v>1.3</v>
      </c>
      <c r="E329" s="14">
        <v>1.3</v>
      </c>
      <c r="F329" s="14"/>
      <c r="G329" s="23"/>
      <c r="N329" s="45"/>
      <c r="O329" s="39"/>
      <c r="P329" s="40"/>
      <c r="Q329" s="42"/>
      <c r="R329" s="42"/>
      <c r="S329" s="42"/>
      <c r="T329" s="42"/>
      <c r="U329" s="41"/>
      <c r="V329" s="41"/>
    </row>
    <row r="330" spans="1:22" ht="15" customHeight="1" x14ac:dyDescent="0.25">
      <c r="A330" s="91" t="s">
        <v>138</v>
      </c>
      <c r="B330" s="24" t="s">
        <v>139</v>
      </c>
      <c r="C330" s="25"/>
      <c r="D330" s="26">
        <f t="shared" si="17"/>
        <v>170.1</v>
      </c>
      <c r="E330" s="26">
        <f>SUM(E331+E332+E333)</f>
        <v>163.29999999999998</v>
      </c>
      <c r="F330" s="26">
        <f>SUM(F331+F332+F333)</f>
        <v>93.2</v>
      </c>
      <c r="G330" s="26">
        <f>SUM(G331+G332+G333)</f>
        <v>6.8</v>
      </c>
      <c r="N330" s="45"/>
      <c r="O330" s="39"/>
      <c r="P330" s="40"/>
      <c r="Q330" s="42"/>
      <c r="R330" s="42"/>
      <c r="S330" s="42"/>
      <c r="T330" s="42"/>
      <c r="U330" s="41"/>
      <c r="V330" s="41"/>
    </row>
    <row r="331" spans="1:22" ht="12.75" customHeight="1" x14ac:dyDescent="0.25">
      <c r="A331" s="91"/>
      <c r="B331" s="13" t="s">
        <v>23</v>
      </c>
      <c r="C331" s="72" t="s">
        <v>22</v>
      </c>
      <c r="D331" s="14">
        <f t="shared" si="17"/>
        <v>2.7</v>
      </c>
      <c r="E331" s="14">
        <v>2.7</v>
      </c>
      <c r="F331" s="14"/>
      <c r="G331" s="14"/>
      <c r="N331" s="45"/>
      <c r="O331" s="39"/>
      <c r="P331" s="40"/>
      <c r="Q331" s="42"/>
      <c r="R331" s="42"/>
      <c r="S331" s="42"/>
      <c r="T331" s="42"/>
      <c r="U331" s="41"/>
      <c r="V331" s="41"/>
    </row>
    <row r="332" spans="1:22" ht="12.75" customHeight="1" x14ac:dyDescent="0.25">
      <c r="A332" s="91"/>
      <c r="B332" s="13" t="s">
        <v>15</v>
      </c>
      <c r="C332" s="78" t="s">
        <v>27</v>
      </c>
      <c r="D332" s="14">
        <f t="shared" si="17"/>
        <v>142.80000000000001</v>
      </c>
      <c r="E332" s="14">
        <v>142</v>
      </c>
      <c r="F332" s="14">
        <v>93.2</v>
      </c>
      <c r="G332" s="14">
        <v>0.8</v>
      </c>
      <c r="N332" s="45"/>
      <c r="O332" s="39"/>
      <c r="P332" s="40"/>
      <c r="Q332" s="42"/>
      <c r="R332" s="42"/>
      <c r="S332" s="42"/>
      <c r="T332" s="42"/>
      <c r="U332" s="41"/>
      <c r="V332" s="41"/>
    </row>
    <row r="333" spans="1:22" ht="12.75" customHeight="1" x14ac:dyDescent="0.25">
      <c r="A333" s="91"/>
      <c r="B333" s="13" t="s">
        <v>19</v>
      </c>
      <c r="C333" s="80"/>
      <c r="D333" s="14">
        <f t="shared" si="17"/>
        <v>24.6</v>
      </c>
      <c r="E333" s="14">
        <v>18.600000000000001</v>
      </c>
      <c r="F333" s="14"/>
      <c r="G333" s="14">
        <v>6</v>
      </c>
      <c r="S333" s="42"/>
      <c r="T333" s="42"/>
      <c r="U333" s="41"/>
      <c r="V333" s="41"/>
    </row>
    <row r="334" spans="1:22" ht="15" customHeight="1" x14ac:dyDescent="0.25">
      <c r="A334" s="91" t="s">
        <v>140</v>
      </c>
      <c r="B334" s="24" t="s">
        <v>141</v>
      </c>
      <c r="C334" s="70"/>
      <c r="D334" s="26">
        <f t="shared" si="17"/>
        <v>138.9</v>
      </c>
      <c r="E334" s="26">
        <f>SUM(E335+E336+E337)</f>
        <v>138.9</v>
      </c>
      <c r="F334" s="26">
        <f>SUM(F335+F336+F337)</f>
        <v>107.9</v>
      </c>
      <c r="G334" s="27">
        <f>SUM(G335+G336+G337)</f>
        <v>0</v>
      </c>
      <c r="S334" s="42"/>
      <c r="T334" s="42"/>
      <c r="U334" s="41"/>
      <c r="V334" s="41"/>
    </row>
    <row r="335" spans="1:22" ht="12.75" customHeight="1" x14ac:dyDescent="0.25">
      <c r="A335" s="91"/>
      <c r="B335" s="13" t="s">
        <v>23</v>
      </c>
      <c r="C335" s="72" t="s">
        <v>22</v>
      </c>
      <c r="D335" s="14">
        <f t="shared" si="17"/>
        <v>1.2</v>
      </c>
      <c r="E335" s="14">
        <v>1.2</v>
      </c>
      <c r="F335" s="14"/>
      <c r="G335" s="14"/>
      <c r="S335" s="42"/>
      <c r="T335" s="42"/>
      <c r="U335" s="41"/>
      <c r="V335" s="41"/>
    </row>
    <row r="336" spans="1:22" ht="12.75" customHeight="1" x14ac:dyDescent="0.25">
      <c r="A336" s="91"/>
      <c r="B336" s="13" t="s">
        <v>15</v>
      </c>
      <c r="C336" s="78" t="s">
        <v>27</v>
      </c>
      <c r="D336" s="14">
        <f t="shared" si="17"/>
        <v>136.4</v>
      </c>
      <c r="E336" s="14">
        <v>136.4</v>
      </c>
      <c r="F336" s="14">
        <v>107.9</v>
      </c>
      <c r="G336" s="23"/>
      <c r="S336" s="42"/>
      <c r="T336" s="42"/>
      <c r="U336" s="41"/>
      <c r="V336" s="41"/>
    </row>
    <row r="337" spans="1:22" ht="12.75" customHeight="1" x14ac:dyDescent="0.25">
      <c r="A337" s="91"/>
      <c r="B337" s="13" t="s">
        <v>19</v>
      </c>
      <c r="C337" s="80"/>
      <c r="D337" s="14">
        <f t="shared" si="17"/>
        <v>1.3</v>
      </c>
      <c r="E337" s="14">
        <v>1.3</v>
      </c>
      <c r="F337" s="14"/>
      <c r="G337" s="23"/>
      <c r="S337" s="42"/>
      <c r="T337" s="42"/>
      <c r="U337" s="41"/>
      <c r="V337" s="41"/>
    </row>
    <row r="338" spans="1:22" ht="15" customHeight="1" x14ac:dyDescent="0.25">
      <c r="A338" s="91" t="s">
        <v>142</v>
      </c>
      <c r="B338" s="24" t="s">
        <v>143</v>
      </c>
      <c r="C338" s="70"/>
      <c r="D338" s="26">
        <f t="shared" si="17"/>
        <v>117.19999999999999</v>
      </c>
      <c r="E338" s="26">
        <f>SUM(E339+E340+E341)</f>
        <v>116.39999999999999</v>
      </c>
      <c r="F338" s="26">
        <f>SUM(F339+F340+F341)</f>
        <v>92</v>
      </c>
      <c r="G338" s="26">
        <f>SUM(G339+G340+G341)</f>
        <v>0.8</v>
      </c>
      <c r="S338" s="42"/>
      <c r="T338" s="42"/>
      <c r="U338" s="41"/>
      <c r="V338" s="41"/>
    </row>
    <row r="339" spans="1:22" ht="12.75" customHeight="1" x14ac:dyDescent="0.25">
      <c r="A339" s="91"/>
      <c r="B339" s="13" t="s">
        <v>23</v>
      </c>
      <c r="C339" s="72" t="s">
        <v>22</v>
      </c>
      <c r="D339" s="14">
        <f t="shared" si="17"/>
        <v>3</v>
      </c>
      <c r="E339" s="14">
        <v>3</v>
      </c>
      <c r="F339" s="14"/>
      <c r="G339" s="14"/>
      <c r="S339" s="42"/>
      <c r="T339" s="42"/>
      <c r="U339" s="41"/>
      <c r="V339" s="41"/>
    </row>
    <row r="340" spans="1:22" ht="12.75" customHeight="1" x14ac:dyDescent="0.25">
      <c r="A340" s="91"/>
      <c r="B340" s="13" t="s">
        <v>15</v>
      </c>
      <c r="C340" s="78" t="s">
        <v>27</v>
      </c>
      <c r="D340" s="14">
        <f t="shared" si="17"/>
        <v>112.89999999999999</v>
      </c>
      <c r="E340" s="14">
        <v>112.1</v>
      </c>
      <c r="F340" s="14">
        <v>92</v>
      </c>
      <c r="G340" s="14">
        <v>0.8</v>
      </c>
      <c r="S340" s="42"/>
      <c r="T340" s="42"/>
      <c r="U340" s="41"/>
      <c r="V340" s="41"/>
    </row>
    <row r="341" spans="1:22" ht="12.75" customHeight="1" x14ac:dyDescent="0.25">
      <c r="A341" s="91"/>
      <c r="B341" s="13" t="s">
        <v>19</v>
      </c>
      <c r="C341" s="80"/>
      <c r="D341" s="14">
        <f t="shared" si="17"/>
        <v>1.3</v>
      </c>
      <c r="E341" s="14">
        <v>1.3</v>
      </c>
      <c r="F341" s="14"/>
      <c r="G341" s="23"/>
      <c r="S341" s="42"/>
      <c r="T341" s="42"/>
      <c r="U341" s="41"/>
      <c r="V341" s="41"/>
    </row>
    <row r="342" spans="1:22" ht="15" customHeight="1" x14ac:dyDescent="0.25">
      <c r="A342" s="91" t="s">
        <v>144</v>
      </c>
      <c r="B342" s="24" t="s">
        <v>145</v>
      </c>
      <c r="C342" s="70"/>
      <c r="D342" s="26">
        <f t="shared" si="17"/>
        <v>1800.4</v>
      </c>
      <c r="E342" s="26">
        <f>SUM(E343:E349)</f>
        <v>1340.9</v>
      </c>
      <c r="F342" s="26">
        <f>SUM(F343:F349)</f>
        <v>1060.8999999999999</v>
      </c>
      <c r="G342" s="26">
        <f>SUM(G343:G349)</f>
        <v>459.5</v>
      </c>
      <c r="S342" s="42"/>
      <c r="T342" s="42"/>
      <c r="U342" s="41"/>
      <c r="V342" s="41"/>
    </row>
    <row r="343" spans="1:22" ht="12.75" customHeight="1" x14ac:dyDescent="0.25">
      <c r="A343" s="91"/>
      <c r="B343" s="19" t="s">
        <v>20</v>
      </c>
      <c r="C343" s="72" t="s">
        <v>16</v>
      </c>
      <c r="D343" s="14">
        <f t="shared" si="17"/>
        <v>159</v>
      </c>
      <c r="E343" s="14">
        <v>159</v>
      </c>
      <c r="F343" s="14">
        <v>154.80000000000001</v>
      </c>
      <c r="G343" s="14"/>
      <c r="S343" s="42"/>
      <c r="T343" s="42"/>
      <c r="U343" s="41"/>
      <c r="V343" s="41"/>
    </row>
    <row r="344" spans="1:22" ht="12.75" customHeight="1" x14ac:dyDescent="0.25">
      <c r="A344" s="91"/>
      <c r="B344" s="13" t="s">
        <v>21</v>
      </c>
      <c r="C344" s="78" t="s">
        <v>30</v>
      </c>
      <c r="D344" s="14">
        <f t="shared" si="17"/>
        <v>526.5</v>
      </c>
      <c r="E344" s="14">
        <v>135.9</v>
      </c>
      <c r="F344" s="14">
        <v>104.5</v>
      </c>
      <c r="G344" s="14">
        <v>390.6</v>
      </c>
      <c r="S344" s="42"/>
      <c r="T344" s="42"/>
      <c r="U344" s="41"/>
      <c r="V344" s="41"/>
    </row>
    <row r="345" spans="1:22" ht="12.75" customHeight="1" x14ac:dyDescent="0.25">
      <c r="A345" s="91"/>
      <c r="B345" s="13" t="s">
        <v>31</v>
      </c>
      <c r="C345" s="79"/>
      <c r="D345" s="14">
        <f t="shared" si="17"/>
        <v>685.5</v>
      </c>
      <c r="E345" s="14">
        <v>685.5</v>
      </c>
      <c r="F345" s="14">
        <v>621.5</v>
      </c>
      <c r="G345" s="14"/>
      <c r="H345" s="18"/>
      <c r="S345" s="42"/>
      <c r="T345" s="42"/>
      <c r="U345" s="41"/>
      <c r="V345" s="41"/>
    </row>
    <row r="346" spans="1:22" ht="12.75" customHeight="1" x14ac:dyDescent="0.25">
      <c r="A346" s="91"/>
      <c r="B346" s="13" t="s">
        <v>28</v>
      </c>
      <c r="C346" s="79"/>
      <c r="D346" s="14">
        <f t="shared" si="17"/>
        <v>71.900000000000006</v>
      </c>
      <c r="E346" s="14">
        <v>3</v>
      </c>
      <c r="F346" s="14"/>
      <c r="G346" s="14">
        <v>68.900000000000006</v>
      </c>
      <c r="H346" s="18"/>
      <c r="S346" s="42"/>
      <c r="T346" s="42"/>
      <c r="U346" s="41"/>
      <c r="V346" s="41"/>
    </row>
    <row r="347" spans="1:22" ht="12.75" customHeight="1" x14ac:dyDescent="0.25">
      <c r="A347" s="91"/>
      <c r="B347" s="13" t="s">
        <v>117</v>
      </c>
      <c r="C347" s="79"/>
      <c r="D347" s="14">
        <f t="shared" si="17"/>
        <v>37.6</v>
      </c>
      <c r="E347" s="14">
        <v>37.6</v>
      </c>
      <c r="F347" s="14">
        <v>37</v>
      </c>
      <c r="G347" s="14"/>
      <c r="H347" s="18"/>
      <c r="S347" s="42"/>
      <c r="T347" s="42"/>
      <c r="U347" s="41"/>
      <c r="V347" s="41"/>
    </row>
    <row r="348" spans="1:22" ht="12.75" customHeight="1" x14ac:dyDescent="0.25">
      <c r="A348" s="91"/>
      <c r="B348" s="19" t="s">
        <v>20</v>
      </c>
      <c r="C348" s="79"/>
      <c r="D348" s="14">
        <f t="shared" si="17"/>
        <v>111.2</v>
      </c>
      <c r="E348" s="14">
        <v>111.2</v>
      </c>
      <c r="F348" s="14">
        <v>106.5</v>
      </c>
      <c r="G348" s="14"/>
      <c r="H348" s="18"/>
      <c r="S348" s="42"/>
      <c r="T348" s="42"/>
      <c r="U348" s="41"/>
      <c r="V348" s="41"/>
    </row>
    <row r="349" spans="1:22" ht="12.75" customHeight="1" x14ac:dyDescent="0.25">
      <c r="A349" s="91"/>
      <c r="B349" s="13" t="s">
        <v>19</v>
      </c>
      <c r="C349" s="80"/>
      <c r="D349" s="14">
        <f t="shared" si="17"/>
        <v>208.7</v>
      </c>
      <c r="E349" s="14">
        <v>208.7</v>
      </c>
      <c r="F349" s="14">
        <v>36.6</v>
      </c>
      <c r="G349" s="23"/>
      <c r="S349" s="42"/>
      <c r="T349" s="42"/>
      <c r="U349" s="41"/>
      <c r="V349" s="41"/>
    </row>
    <row r="350" spans="1:22" ht="15" customHeight="1" x14ac:dyDescent="0.25">
      <c r="A350" s="91" t="s">
        <v>146</v>
      </c>
      <c r="B350" s="24" t="s">
        <v>147</v>
      </c>
      <c r="C350" s="70"/>
      <c r="D350" s="26">
        <f t="shared" si="17"/>
        <v>573.29999999999995</v>
      </c>
      <c r="E350" s="26">
        <f t="shared" ref="E350:F350" si="18">SUM(E351:E353)</f>
        <v>573.29999999999995</v>
      </c>
      <c r="F350" s="26">
        <f t="shared" si="18"/>
        <v>403.29999999999995</v>
      </c>
      <c r="G350" s="27">
        <f>SUM(G351:G353)</f>
        <v>0</v>
      </c>
      <c r="S350" s="42"/>
      <c r="T350" s="42"/>
      <c r="U350" s="41"/>
      <c r="V350" s="41"/>
    </row>
    <row r="351" spans="1:22" ht="12.75" customHeight="1" x14ac:dyDescent="0.25">
      <c r="A351" s="91"/>
      <c r="B351" s="13" t="s">
        <v>21</v>
      </c>
      <c r="C351" s="78" t="s">
        <v>30</v>
      </c>
      <c r="D351" s="14">
        <f t="shared" ref="D351" si="19">SUM(G351+E351)</f>
        <v>52.9</v>
      </c>
      <c r="E351" s="14">
        <v>52.9</v>
      </c>
      <c r="F351" s="14">
        <v>51.9</v>
      </c>
      <c r="G351" s="14"/>
      <c r="S351" s="42"/>
      <c r="T351" s="42"/>
      <c r="U351" s="41"/>
      <c r="V351" s="41"/>
    </row>
    <row r="352" spans="1:22" ht="12.75" customHeight="1" x14ac:dyDescent="0.25">
      <c r="A352" s="91"/>
      <c r="B352" s="13" t="s">
        <v>31</v>
      </c>
      <c r="C352" s="79"/>
      <c r="D352" s="14">
        <f t="shared" si="17"/>
        <v>512.29999999999995</v>
      </c>
      <c r="E352" s="14">
        <f>500.5+1.8+10</f>
        <v>512.29999999999995</v>
      </c>
      <c r="F352" s="14">
        <v>351.4</v>
      </c>
      <c r="G352" s="14"/>
      <c r="S352" s="42"/>
      <c r="T352" s="42"/>
      <c r="U352" s="41"/>
      <c r="V352" s="41"/>
    </row>
    <row r="353" spans="1:22" ht="12.75" customHeight="1" x14ac:dyDescent="0.25">
      <c r="A353" s="91"/>
      <c r="B353" s="13" t="s">
        <v>19</v>
      </c>
      <c r="C353" s="80"/>
      <c r="D353" s="14">
        <f t="shared" si="17"/>
        <v>8.1</v>
      </c>
      <c r="E353" s="14">
        <v>8.1</v>
      </c>
      <c r="F353" s="14"/>
      <c r="G353" s="23"/>
      <c r="S353" s="42"/>
      <c r="T353" s="42"/>
      <c r="U353" s="41"/>
      <c r="V353" s="41"/>
    </row>
    <row r="354" spans="1:22" ht="15" customHeight="1" x14ac:dyDescent="0.25">
      <c r="A354" s="81" t="s">
        <v>148</v>
      </c>
      <c r="B354" s="24" t="s">
        <v>149</v>
      </c>
      <c r="C354" s="70"/>
      <c r="D354" s="26">
        <f t="shared" si="17"/>
        <v>420.8</v>
      </c>
      <c r="E354" s="26">
        <f>SUM(E355:E360)</f>
        <v>420.8</v>
      </c>
      <c r="F354" s="26">
        <f>SUM(F355:F360)</f>
        <v>266.59999999999997</v>
      </c>
      <c r="G354" s="27">
        <f>SUM(G355:G360)</f>
        <v>0</v>
      </c>
      <c r="S354" s="42"/>
      <c r="T354" s="42"/>
      <c r="U354" s="41"/>
      <c r="V354" s="41"/>
    </row>
    <row r="355" spans="1:22" ht="12.75" customHeight="1" x14ac:dyDescent="0.25">
      <c r="A355" s="81"/>
      <c r="B355" s="13" t="s">
        <v>15</v>
      </c>
      <c r="C355" s="78" t="s">
        <v>32</v>
      </c>
      <c r="D355" s="14">
        <f t="shared" si="17"/>
        <v>4.0999999999999996</v>
      </c>
      <c r="E355" s="14">
        <v>4.0999999999999996</v>
      </c>
      <c r="F355" s="14"/>
      <c r="G355" s="14"/>
      <c r="S355" s="42"/>
      <c r="T355" s="42"/>
      <c r="U355" s="41"/>
      <c r="V355" s="41"/>
    </row>
    <row r="356" spans="1:22" ht="12.75" customHeight="1" x14ac:dyDescent="0.25">
      <c r="A356" s="81"/>
      <c r="B356" s="13" t="s">
        <v>31</v>
      </c>
      <c r="C356" s="79"/>
      <c r="D356" s="47">
        <f t="shared" si="17"/>
        <v>3.2</v>
      </c>
      <c r="E356" s="47">
        <v>3.2</v>
      </c>
      <c r="F356" s="47"/>
      <c r="G356" s="47"/>
      <c r="S356" s="42"/>
      <c r="T356" s="42"/>
      <c r="U356" s="41"/>
      <c r="V356" s="41"/>
    </row>
    <row r="357" spans="1:22" ht="12.75" customHeight="1" x14ac:dyDescent="0.25">
      <c r="A357" s="81"/>
      <c r="B357" s="13" t="s">
        <v>21</v>
      </c>
      <c r="C357" s="79"/>
      <c r="D357" s="47">
        <f t="shared" si="17"/>
        <v>31.8</v>
      </c>
      <c r="E357" s="47">
        <v>31.8</v>
      </c>
      <c r="F357" s="47">
        <v>2.2000000000000002</v>
      </c>
      <c r="G357" s="47"/>
      <c r="S357" s="42"/>
      <c r="T357" s="42"/>
      <c r="U357" s="41"/>
      <c r="V357" s="41"/>
    </row>
    <row r="358" spans="1:22" ht="12.75" customHeight="1" x14ac:dyDescent="0.25">
      <c r="A358" s="81"/>
      <c r="B358" s="13" t="s">
        <v>24</v>
      </c>
      <c r="C358" s="79"/>
      <c r="D358" s="47">
        <f t="shared" si="17"/>
        <v>3.3</v>
      </c>
      <c r="E358" s="47">
        <v>3.3</v>
      </c>
      <c r="F358" s="47"/>
      <c r="G358" s="47"/>
      <c r="S358" s="42"/>
      <c r="T358" s="42"/>
      <c r="U358" s="41"/>
      <c r="V358" s="41"/>
    </row>
    <row r="359" spans="1:22" ht="12.75" customHeight="1" x14ac:dyDescent="0.25">
      <c r="A359" s="81"/>
      <c r="B359" s="13" t="s">
        <v>117</v>
      </c>
      <c r="C359" s="79"/>
      <c r="D359" s="47">
        <f t="shared" si="17"/>
        <v>18.100000000000001</v>
      </c>
      <c r="E359" s="47">
        <v>18.100000000000001</v>
      </c>
      <c r="F359" s="47"/>
      <c r="G359" s="47"/>
      <c r="S359" s="42"/>
      <c r="T359" s="42"/>
      <c r="U359" s="41"/>
      <c r="V359" s="41"/>
    </row>
    <row r="360" spans="1:22" ht="12.75" customHeight="1" x14ac:dyDescent="0.25">
      <c r="A360" s="81"/>
      <c r="B360" s="48" t="s">
        <v>20</v>
      </c>
      <c r="C360" s="80"/>
      <c r="D360" s="47">
        <f t="shared" si="17"/>
        <v>360.3</v>
      </c>
      <c r="E360" s="47">
        <v>360.3</v>
      </c>
      <c r="F360" s="47">
        <v>264.39999999999998</v>
      </c>
      <c r="G360" s="47"/>
      <c r="S360" s="42"/>
      <c r="T360" s="42"/>
      <c r="U360" s="41"/>
      <c r="V360" s="41"/>
    </row>
    <row r="361" spans="1:22" ht="18" customHeight="1" x14ac:dyDescent="0.25">
      <c r="A361" s="90" t="s">
        <v>150</v>
      </c>
      <c r="B361" s="90"/>
      <c r="C361" s="49"/>
      <c r="D361" s="50">
        <f>SUM(G361+E361)</f>
        <v>44456.3</v>
      </c>
      <c r="E361" s="50">
        <f>SUM(E420+E414+E406+E398+E388+E381+E370+E362)</f>
        <v>35926</v>
      </c>
      <c r="F361" s="50">
        <f>SUM(F420+F414+F406+F398+F388+F381+F370+F362)</f>
        <v>21603.4</v>
      </c>
      <c r="G361" s="50">
        <f>SUM(G420+G414+G406+G398+G388+G381+G370+G362)</f>
        <v>8530.2999999999993</v>
      </c>
    </row>
    <row r="362" spans="1:22" ht="15" customHeight="1" x14ac:dyDescent="0.25">
      <c r="A362" s="89" t="s">
        <v>151</v>
      </c>
      <c r="B362" s="89"/>
      <c r="C362" s="51" t="s">
        <v>16</v>
      </c>
      <c r="D362" s="52">
        <f>SUM(G362+E362)</f>
        <v>7336.7</v>
      </c>
      <c r="E362" s="52">
        <f t="shared" ref="E362:F362" si="20">SUM(E363:E369)</f>
        <v>7132.2</v>
      </c>
      <c r="F362" s="52">
        <f t="shared" si="20"/>
        <v>5118.8999999999996</v>
      </c>
      <c r="G362" s="52">
        <f>SUM(G363:G369)</f>
        <v>204.50000000000003</v>
      </c>
      <c r="O362" s="53"/>
    </row>
    <row r="363" spans="1:22" ht="12.75" customHeight="1" x14ac:dyDescent="0.25">
      <c r="A363" s="54"/>
      <c r="B363" s="55" t="s">
        <v>21</v>
      </c>
      <c r="C363" s="51"/>
      <c r="D363" s="14">
        <f>SUM(G363+E363)</f>
        <v>107.69999999999999</v>
      </c>
      <c r="E363" s="56">
        <f>SUM(E22)</f>
        <v>42.9</v>
      </c>
      <c r="F363" s="56"/>
      <c r="G363" s="56">
        <f>SUM(G22)</f>
        <v>64.8</v>
      </c>
      <c r="O363" s="53"/>
    </row>
    <row r="364" spans="1:22" ht="12.95" customHeight="1" x14ac:dyDescent="0.25">
      <c r="A364" s="57"/>
      <c r="B364" s="58" t="s">
        <v>15</v>
      </c>
      <c r="C364" s="59"/>
      <c r="D364" s="14">
        <f>SUM(G364+E364)</f>
        <v>4221.3000000000011</v>
      </c>
      <c r="E364" s="14">
        <f>SUM(E14+E16+E64+E69+E74+E79+E85+E91+E98+E103+E109+E115+E120+E127+E134)</f>
        <v>4129.0000000000009</v>
      </c>
      <c r="F364" s="14">
        <f>SUM(F14+F16+F64+F69+F74+F79+F85+F91+F98+F103+F109+F115+F120+F127+F134)</f>
        <v>3205.6</v>
      </c>
      <c r="G364" s="14">
        <f>SUM(G14+G16+G64+G69+G74+G79+G85+G91+G98+G103+G109+G115+G120+G127+G134)</f>
        <v>92.300000000000011</v>
      </c>
    </row>
    <row r="365" spans="1:22" ht="12.95" customHeight="1" x14ac:dyDescent="0.25">
      <c r="A365" s="57"/>
      <c r="B365" s="13" t="s">
        <v>31</v>
      </c>
      <c r="C365" s="59"/>
      <c r="D365" s="14">
        <f>SUM(G365+E365)</f>
        <v>111.4</v>
      </c>
      <c r="E365" s="14">
        <f>E18</f>
        <v>111.4</v>
      </c>
      <c r="F365" s="14">
        <f>F18</f>
        <v>109</v>
      </c>
      <c r="G365" s="14"/>
    </row>
    <row r="366" spans="1:22" ht="12.95" customHeight="1" x14ac:dyDescent="0.25">
      <c r="A366" s="57"/>
      <c r="B366" s="58" t="s">
        <v>162</v>
      </c>
      <c r="C366" s="59"/>
      <c r="D366" s="14">
        <f>SUM(D21)</f>
        <v>47.4</v>
      </c>
      <c r="E366" s="14"/>
      <c r="F366" s="14"/>
      <c r="G366" s="14">
        <f>SUM(G21)</f>
        <v>47.4</v>
      </c>
    </row>
    <row r="367" spans="1:22" ht="12.95" customHeight="1" x14ac:dyDescent="0.25">
      <c r="A367" s="57"/>
      <c r="B367" s="13" t="s">
        <v>19</v>
      </c>
      <c r="C367" s="59"/>
      <c r="D367" s="14">
        <f t="shared" ref="D367:D397" si="21">SUM(G367+E367)</f>
        <v>27.5</v>
      </c>
      <c r="E367" s="14">
        <f>SUM(E17)</f>
        <v>27.5</v>
      </c>
      <c r="F367" s="14"/>
      <c r="G367" s="14"/>
    </row>
    <row r="368" spans="1:22" ht="12.95" customHeight="1" x14ac:dyDescent="0.25">
      <c r="A368" s="57"/>
      <c r="B368" s="13" t="s">
        <v>24</v>
      </c>
      <c r="C368" s="59"/>
      <c r="D368" s="14">
        <f t="shared" si="21"/>
        <v>15.9</v>
      </c>
      <c r="E368" s="14">
        <f>SUM(E20)</f>
        <v>15.9</v>
      </c>
      <c r="F368" s="14">
        <f>SUM(F20)</f>
        <v>15.6</v>
      </c>
      <c r="G368" s="14"/>
    </row>
    <row r="369" spans="1:7" ht="12.95" customHeight="1" x14ac:dyDescent="0.25">
      <c r="A369" s="57"/>
      <c r="B369" s="19" t="s">
        <v>20</v>
      </c>
      <c r="C369" s="59"/>
      <c r="D369" s="14">
        <f t="shared" si="21"/>
        <v>2805.5</v>
      </c>
      <c r="E369" s="14">
        <f>SUM(E19+E135+E137+E143+E148+E155+E160+E165+E172+E180+E185+E190+E195+E200+E205+E210+E216+E222+E227+E232+E238+E249+E254+E264+E269+E343+E259+E244)</f>
        <v>2805.5</v>
      </c>
      <c r="F369" s="14">
        <f>SUM(F19+F135+F137+F143+F148+F155+F160+F165+F172+F180+F185+F190+F195+F200+F205+F210+F216+F222+F227+F232+F238+F249+F254+F264+F269+F343+F259+F244)</f>
        <v>1788.7</v>
      </c>
      <c r="G369" s="14"/>
    </row>
    <row r="370" spans="1:7" ht="15" customHeight="1" x14ac:dyDescent="0.25">
      <c r="A370" s="87" t="s">
        <v>152</v>
      </c>
      <c r="B370" s="87"/>
      <c r="C370" s="51" t="s">
        <v>22</v>
      </c>
      <c r="D370" s="52">
        <f>SUM(G370+E370)</f>
        <v>16508.500000000004</v>
      </c>
      <c r="E370" s="52">
        <f>SUM(E371:E380)</f>
        <v>15519.000000000004</v>
      </c>
      <c r="F370" s="52">
        <f>SUM(F371:F380)</f>
        <v>12153.699999999999</v>
      </c>
      <c r="G370" s="52">
        <f>SUM(G371:G380)</f>
        <v>989.5</v>
      </c>
    </row>
    <row r="371" spans="1:7" ht="12.95" customHeight="1" x14ac:dyDescent="0.25">
      <c r="A371" s="57"/>
      <c r="B371" s="13" t="s">
        <v>15</v>
      </c>
      <c r="C371" s="59"/>
      <c r="D371" s="14">
        <f t="shared" si="21"/>
        <v>7657.2000000000016</v>
      </c>
      <c r="E371" s="14">
        <f>SUM(E23+E138+E144+E149+E156+E161+E166+E174+E181+E186+E191+E196+E201+E206+E211+E217+E223+E228+E233+E239+E245+E250+E255+E260+E265+E270+E274+E278+E282)</f>
        <v>7456.9000000000015</v>
      </c>
      <c r="F371" s="14">
        <f>SUM(F23+F138+F144+F149+F156+F161+F166+F174+F181+F186+F191+F196+F201+F206+F211+F217+F223+F228+F233+F239+F245+F250+F255+F260+F265+F270+F274+F278+F282)</f>
        <v>5218.6000000000004</v>
      </c>
      <c r="G371" s="14">
        <f>SUM(G23+G138+G144+G149+G156+G161+G166+G174+G181+G186+G191+G196+G201+G206+G211+G217+G223+G228+G233+G239+G245+G250+G255+G260+G265+G270+G274+G278+G282)</f>
        <v>200.3</v>
      </c>
    </row>
    <row r="372" spans="1:7" ht="12.95" customHeight="1" x14ac:dyDescent="0.25">
      <c r="A372" s="57"/>
      <c r="B372" s="13" t="s">
        <v>21</v>
      </c>
      <c r="C372" s="59"/>
      <c r="D372" s="14">
        <f t="shared" si="21"/>
        <v>320.5</v>
      </c>
      <c r="E372" s="14">
        <f>SUM(E24+E173)</f>
        <v>103.30000000000001</v>
      </c>
      <c r="F372" s="14">
        <f>SUM(F24+F173)</f>
        <v>8.3000000000000007</v>
      </c>
      <c r="G372" s="14">
        <f>SUM(G24+G173)</f>
        <v>217.2</v>
      </c>
    </row>
    <row r="373" spans="1:7" ht="12.95" customHeight="1" x14ac:dyDescent="0.25">
      <c r="A373" s="57"/>
      <c r="B373" s="13" t="s">
        <v>23</v>
      </c>
      <c r="C373" s="59"/>
      <c r="D373" s="14">
        <f t="shared" si="21"/>
        <v>75.3</v>
      </c>
      <c r="E373" s="14">
        <f>SUM(E25+E281+E287+E291+E302+E308+E312+E316+E323+E327+E331+E335+E339+E298)</f>
        <v>75.3</v>
      </c>
      <c r="F373" s="14">
        <f>SUM(F25+F281+F287+F291+F302+F308+F312+F316+F323+F327+F331+F335+F339+F298)</f>
        <v>1.7999999999999998</v>
      </c>
      <c r="G373" s="14"/>
    </row>
    <row r="374" spans="1:7" ht="12.95" customHeight="1" x14ac:dyDescent="0.25">
      <c r="A374" s="57"/>
      <c r="B374" s="13" t="s">
        <v>24</v>
      </c>
      <c r="C374" s="59"/>
      <c r="D374" s="14">
        <f t="shared" si="21"/>
        <v>14.4</v>
      </c>
      <c r="E374" s="14"/>
      <c r="F374" s="14"/>
      <c r="G374" s="14">
        <f>SUM(G26)</f>
        <v>14.4</v>
      </c>
    </row>
    <row r="375" spans="1:7" ht="12.95" customHeight="1" x14ac:dyDescent="0.25">
      <c r="A375" s="57"/>
      <c r="B375" s="13" t="s">
        <v>160</v>
      </c>
      <c r="C375" s="60"/>
      <c r="D375" s="14">
        <f t="shared" si="21"/>
        <v>7438.800000000002</v>
      </c>
      <c r="E375" s="14">
        <f>SUM(E139+E145+E150+E157+E162+E167+E175+E182+E187+E192+E197+E202+E207+E212+E218+E224+E229+E234+E240+E246+E251+E256+E261+E266+E271+E279+E283+E27)</f>
        <v>7438.800000000002</v>
      </c>
      <c r="F375" s="14">
        <f>SUM(F139+F145+F150+F157+F162+F167+F175+F182+F187+F192+F197+F202+F207+F212+F218+F224+F229+F234+F240+F246+F251+F256+F261+F266+F271+F279+F283+F27)</f>
        <v>6908.9999999999982</v>
      </c>
      <c r="G375" s="14"/>
    </row>
    <row r="376" spans="1:7" ht="12.95" customHeight="1" x14ac:dyDescent="0.25">
      <c r="A376" s="57"/>
      <c r="B376" s="13" t="s">
        <v>25</v>
      </c>
      <c r="C376" s="60"/>
      <c r="D376" s="14">
        <f t="shared" si="21"/>
        <v>532.70000000000005</v>
      </c>
      <c r="E376" s="14"/>
      <c r="F376" s="14"/>
      <c r="G376" s="14">
        <f>SUM(G241+G176)</f>
        <v>532.70000000000005</v>
      </c>
    </row>
    <row r="377" spans="1:7" ht="12.95" customHeight="1" x14ac:dyDescent="0.25">
      <c r="A377" s="57"/>
      <c r="B377" s="13" t="s">
        <v>28</v>
      </c>
      <c r="C377" s="60"/>
      <c r="D377" s="14">
        <f t="shared" si="21"/>
        <v>19.5</v>
      </c>
      <c r="E377" s="14"/>
      <c r="F377" s="14"/>
      <c r="G377" s="14">
        <f>SUM(G30)</f>
        <v>19.5</v>
      </c>
    </row>
    <row r="378" spans="1:7" ht="12.95" customHeight="1" x14ac:dyDescent="0.25">
      <c r="A378" s="57"/>
      <c r="B378" s="13" t="s">
        <v>117</v>
      </c>
      <c r="C378" s="60"/>
      <c r="D378" s="14">
        <f t="shared" si="21"/>
        <v>72.5</v>
      </c>
      <c r="E378" s="14">
        <f>SUM(E284+E28+E177+E140+E151+E213+E168+E219+E235)</f>
        <v>72.5</v>
      </c>
      <c r="F378" s="14">
        <f>SUM(F284+F28+F177+F140+F151+F213+F168+F219+F235)</f>
        <v>15.999999999999998</v>
      </c>
      <c r="G378" s="14"/>
    </row>
    <row r="379" spans="1:7" ht="12.95" customHeight="1" x14ac:dyDescent="0.25">
      <c r="A379" s="57"/>
      <c r="B379" s="13" t="s">
        <v>164</v>
      </c>
      <c r="C379" s="60"/>
      <c r="D379" s="14">
        <f t="shared" si="21"/>
        <v>48.2</v>
      </c>
      <c r="E379" s="14">
        <f>SUM(E29)</f>
        <v>48.2</v>
      </c>
      <c r="F379" s="14"/>
      <c r="G379" s="14"/>
    </row>
    <row r="380" spans="1:7" ht="12.95" customHeight="1" x14ac:dyDescent="0.25">
      <c r="A380" s="57"/>
      <c r="B380" s="13" t="s">
        <v>19</v>
      </c>
      <c r="C380" s="60"/>
      <c r="D380" s="14">
        <f t="shared" si="21"/>
        <v>329.4</v>
      </c>
      <c r="E380" s="14">
        <f>SUM(E141+E146+E152+E158+E163+E169+E178+E183+E188+E193+E198+E203+E208+E214+E220+E225+E230+E236+E242+E247+E252+E257+E262+E267+E272+E275+E285)</f>
        <v>324</v>
      </c>
      <c r="F380" s="14"/>
      <c r="G380" s="14">
        <f>SUM(G141+G146+G152+G158+G163+G169+G178+G183+G188+G193+G198+G203+G208+G214+G220+G225+G230+G236+G242+G247+G252+G257+G262+G267+G272+G275+G285)</f>
        <v>5.4</v>
      </c>
    </row>
    <row r="381" spans="1:7" ht="15" customHeight="1" x14ac:dyDescent="0.25">
      <c r="A381" s="87" t="s">
        <v>153</v>
      </c>
      <c r="B381" s="87"/>
      <c r="C381" s="51" t="s">
        <v>27</v>
      </c>
      <c r="D381" s="52">
        <f>SUM(G381+E381)</f>
        <v>4863.5</v>
      </c>
      <c r="E381" s="52">
        <f>SUM(E382+E383+E384+E386+E387)</f>
        <v>3283.5000000000005</v>
      </c>
      <c r="F381" s="52">
        <f>SUM(F382+F383+F384+F386+F387)</f>
        <v>2334.0000000000005</v>
      </c>
      <c r="G381" s="52">
        <f>SUM(G382+G383+G384+G386+G387+G385)</f>
        <v>1580</v>
      </c>
    </row>
    <row r="382" spans="1:7" ht="12.75" customHeight="1" x14ac:dyDescent="0.25">
      <c r="A382" s="54"/>
      <c r="B382" s="55" t="s">
        <v>21</v>
      </c>
      <c r="C382" s="51"/>
      <c r="D382" s="61">
        <f t="shared" si="21"/>
        <v>920.30000000000007</v>
      </c>
      <c r="E382" s="56">
        <f t="shared" ref="E382:F382" si="22">SUM(E32+E303)</f>
        <v>5</v>
      </c>
      <c r="F382" s="56">
        <f t="shared" si="22"/>
        <v>4.5</v>
      </c>
      <c r="G382" s="56">
        <f>SUM(G32+G303)</f>
        <v>915.30000000000007</v>
      </c>
    </row>
    <row r="383" spans="1:7" ht="12.75" customHeight="1" x14ac:dyDescent="0.25">
      <c r="A383" s="54"/>
      <c r="B383" s="13" t="s">
        <v>24</v>
      </c>
      <c r="C383" s="51"/>
      <c r="D383" s="61">
        <f t="shared" si="21"/>
        <v>84.5</v>
      </c>
      <c r="E383" s="56"/>
      <c r="F383" s="56"/>
      <c r="G383" s="56">
        <f>SUM(G33+G304)</f>
        <v>84.5</v>
      </c>
    </row>
    <row r="384" spans="1:7" ht="12.95" customHeight="1" x14ac:dyDescent="0.25">
      <c r="A384" s="57"/>
      <c r="B384" s="13" t="s">
        <v>15</v>
      </c>
      <c r="C384" s="59"/>
      <c r="D384" s="61">
        <f t="shared" si="21"/>
        <v>3374.4</v>
      </c>
      <c r="E384" s="14">
        <f>SUM(E288+E292+E299+E305+E309+E313+E317+E320+E324+E332+E328+E336+E340+E31+E276+E92+E128)</f>
        <v>3233.7000000000003</v>
      </c>
      <c r="F384" s="14">
        <f>SUM(F288+F292+F299+F305+F309+F313+F317+F320+F324+F332+F328+F336+F340+F31+F276)</f>
        <v>2329.5000000000005</v>
      </c>
      <c r="G384" s="14">
        <f>SUM(G288+G292+G299+G305+G309+G313+G317+G320+G324+G332+G328+G336+G340+G31+G276+G92+G128+G121)</f>
        <v>140.69999999999999</v>
      </c>
    </row>
    <row r="385" spans="1:7" ht="12.95" customHeight="1" x14ac:dyDescent="0.25">
      <c r="A385" s="57"/>
      <c r="B385" s="13" t="s">
        <v>25</v>
      </c>
      <c r="C385" s="59"/>
      <c r="D385" s="61">
        <f t="shared" si="21"/>
        <v>350</v>
      </c>
      <c r="E385" s="14"/>
      <c r="F385" s="14"/>
      <c r="G385" s="14">
        <f>SUM(G34)</f>
        <v>350</v>
      </c>
    </row>
    <row r="386" spans="1:7" ht="12.95" customHeight="1" x14ac:dyDescent="0.25">
      <c r="A386" s="57"/>
      <c r="B386" s="13" t="s">
        <v>28</v>
      </c>
      <c r="C386" s="59"/>
      <c r="D386" s="14">
        <f t="shared" si="21"/>
        <v>83.5</v>
      </c>
      <c r="E386" s="14"/>
      <c r="F386" s="14"/>
      <c r="G386" s="14">
        <f>SUM(G35)</f>
        <v>83.5</v>
      </c>
    </row>
    <row r="387" spans="1:7" ht="12.95" customHeight="1" x14ac:dyDescent="0.25">
      <c r="A387" s="57"/>
      <c r="B387" s="13" t="s">
        <v>19</v>
      </c>
      <c r="C387" s="59"/>
      <c r="D387" s="14">
        <f t="shared" si="21"/>
        <v>50.8</v>
      </c>
      <c r="E387" s="14">
        <f>SUM(E289+E293+E300+E306+E310+E314+E318+E321+E325+E329+E333+E337+E341)</f>
        <v>44.8</v>
      </c>
      <c r="F387" s="14"/>
      <c r="G387" s="14">
        <f>SUM(G289+G293+G300+G306+G310+G314+G318+G321+G325+G329+G333+G337+G341)</f>
        <v>6</v>
      </c>
    </row>
    <row r="388" spans="1:7" ht="15" customHeight="1" x14ac:dyDescent="0.25">
      <c r="A388" s="87" t="s">
        <v>154</v>
      </c>
      <c r="B388" s="87"/>
      <c r="C388" s="51" t="s">
        <v>29</v>
      </c>
      <c r="D388" s="52">
        <f>SUM(G388+E388)</f>
        <v>6067.4000000000005</v>
      </c>
      <c r="E388" s="52">
        <f t="shared" ref="E388:F388" si="23">SUM(E389:E397)</f>
        <v>2290.7000000000003</v>
      </c>
      <c r="F388" s="52">
        <f t="shared" si="23"/>
        <v>98.5</v>
      </c>
      <c r="G388" s="52">
        <f>SUM(G389:G397)</f>
        <v>3776.7000000000003</v>
      </c>
    </row>
    <row r="389" spans="1:7" ht="12.75" customHeight="1" x14ac:dyDescent="0.25">
      <c r="A389" s="54"/>
      <c r="B389" s="55" t="s">
        <v>21</v>
      </c>
      <c r="C389" s="51"/>
      <c r="D389" s="14">
        <f t="shared" si="21"/>
        <v>217.5</v>
      </c>
      <c r="E389" s="52"/>
      <c r="F389" s="52"/>
      <c r="G389" s="56">
        <f>SUM(G38)</f>
        <v>217.5</v>
      </c>
    </row>
    <row r="390" spans="1:7" ht="12.75" customHeight="1" x14ac:dyDescent="0.25">
      <c r="A390" s="54"/>
      <c r="B390" s="13" t="s">
        <v>24</v>
      </c>
      <c r="C390" s="51"/>
      <c r="D390" s="14">
        <f t="shared" si="21"/>
        <v>50</v>
      </c>
      <c r="E390" s="52"/>
      <c r="F390" s="52"/>
      <c r="G390" s="56">
        <f>SUM(G39)</f>
        <v>50</v>
      </c>
    </row>
    <row r="391" spans="1:7" ht="12.95" customHeight="1" x14ac:dyDescent="0.25">
      <c r="A391" s="62"/>
      <c r="B391" s="63" t="s">
        <v>15</v>
      </c>
      <c r="C391" s="59"/>
      <c r="D391" s="14">
        <f t="shared" si="21"/>
        <v>1689.0000000000002</v>
      </c>
      <c r="E391" s="14">
        <f t="shared" ref="E391:F391" si="24">SUM(E36+E65+E70+E75+E80+E86+E93+E99+E104+E110+E116+E122+E129+E170+E153)</f>
        <v>574.90000000000009</v>
      </c>
      <c r="F391" s="14">
        <f t="shared" si="24"/>
        <v>98.5</v>
      </c>
      <c r="G391" s="14">
        <f>SUM(G36+G65+G70+G75+G80+G86+G93+G99+G104+G110+G116+G122+G129+G170+G153)</f>
        <v>1114.1000000000001</v>
      </c>
    </row>
    <row r="392" spans="1:7" ht="12.95" customHeight="1" x14ac:dyDescent="0.25">
      <c r="A392" s="62"/>
      <c r="B392" s="48" t="s">
        <v>31</v>
      </c>
      <c r="C392" s="59"/>
      <c r="D392" s="14">
        <f t="shared" si="21"/>
        <v>100</v>
      </c>
      <c r="E392" s="14">
        <f t="shared" ref="E392" si="25">SUM(E82+E88+E95+E106+E112+E124+E131)</f>
        <v>64.3</v>
      </c>
      <c r="F392" s="14"/>
      <c r="G392" s="14">
        <f>SUM(G82+G88+G95+G106+G112+G124+G131)</f>
        <v>35.700000000000003</v>
      </c>
    </row>
    <row r="393" spans="1:7" ht="12.95" customHeight="1" x14ac:dyDescent="0.25">
      <c r="A393" s="62"/>
      <c r="B393" s="58" t="s">
        <v>162</v>
      </c>
      <c r="C393" s="59"/>
      <c r="D393" s="14">
        <f t="shared" si="21"/>
        <v>260</v>
      </c>
      <c r="E393" s="14"/>
      <c r="F393" s="14"/>
      <c r="G393" s="14">
        <f>SUM(G37)</f>
        <v>260</v>
      </c>
    </row>
    <row r="394" spans="1:7" ht="12.95" customHeight="1" x14ac:dyDescent="0.25">
      <c r="A394" s="57"/>
      <c r="B394" s="19" t="s">
        <v>20</v>
      </c>
      <c r="C394" s="59"/>
      <c r="D394" s="14">
        <f t="shared" si="21"/>
        <v>27.8</v>
      </c>
      <c r="E394" s="14">
        <f>SUM(E42)</f>
        <v>27.8</v>
      </c>
      <c r="F394" s="14"/>
      <c r="G394" s="14"/>
    </row>
    <row r="395" spans="1:7" ht="12.95" customHeight="1" x14ac:dyDescent="0.25">
      <c r="A395" s="57"/>
      <c r="B395" s="13" t="s">
        <v>28</v>
      </c>
      <c r="C395" s="59"/>
      <c r="D395" s="14">
        <f t="shared" si="21"/>
        <v>38.4</v>
      </c>
      <c r="E395" s="14"/>
      <c r="F395" s="14"/>
      <c r="G395" s="14">
        <f>SUM(G40)</f>
        <v>38.4</v>
      </c>
    </row>
    <row r="396" spans="1:7" ht="12.95" customHeight="1" x14ac:dyDescent="0.25">
      <c r="A396" s="57"/>
      <c r="B396" s="13" t="s">
        <v>117</v>
      </c>
      <c r="C396" s="59"/>
      <c r="D396" s="14">
        <f t="shared" si="21"/>
        <v>3659.8</v>
      </c>
      <c r="E396" s="14">
        <f>SUM(E41)</f>
        <v>1598.8000000000002</v>
      </c>
      <c r="F396" s="14"/>
      <c r="G396" s="14">
        <f>SUM(G41)</f>
        <v>2061</v>
      </c>
    </row>
    <row r="397" spans="1:7" ht="12.95" customHeight="1" x14ac:dyDescent="0.25">
      <c r="A397" s="57"/>
      <c r="B397" s="13" t="s">
        <v>19</v>
      </c>
      <c r="C397" s="59"/>
      <c r="D397" s="14">
        <f t="shared" si="21"/>
        <v>24.9</v>
      </c>
      <c r="E397" s="14">
        <f>SUM(E66+E71+E76+E81+E87+E94+E100+E105+E111+E117+E123+E130)</f>
        <v>24.9</v>
      </c>
      <c r="F397" s="14"/>
      <c r="G397" s="14"/>
    </row>
    <row r="398" spans="1:7" ht="15" customHeight="1" x14ac:dyDescent="0.25">
      <c r="A398" s="87" t="s">
        <v>155</v>
      </c>
      <c r="B398" s="87"/>
      <c r="C398" s="51" t="s">
        <v>30</v>
      </c>
      <c r="D398" s="52">
        <f>SUM(G398+E398)</f>
        <v>6545.8000000000011</v>
      </c>
      <c r="E398" s="52">
        <f>SUM(E399:E405)</f>
        <v>5436.4000000000005</v>
      </c>
      <c r="F398" s="52">
        <f>SUM(F399:F405)</f>
        <v>1624.0999999999997</v>
      </c>
      <c r="G398" s="52">
        <f>SUM(G399:G405)</f>
        <v>1109.4000000000001</v>
      </c>
    </row>
    <row r="399" spans="1:7" ht="12.95" customHeight="1" x14ac:dyDescent="0.25">
      <c r="A399" s="57"/>
      <c r="B399" s="13" t="s">
        <v>15</v>
      </c>
      <c r="C399" s="59"/>
      <c r="D399" s="14">
        <f t="shared" ref="D399:D405" si="26">SUM(G399+E399)</f>
        <v>1134.2</v>
      </c>
      <c r="E399" s="14">
        <f>SUM(E43)</f>
        <v>1025.9000000000001</v>
      </c>
      <c r="F399" s="14">
        <f t="shared" ref="F399:G399" si="27">SUM(F43)</f>
        <v>0</v>
      </c>
      <c r="G399" s="14">
        <f t="shared" si="27"/>
        <v>108.3</v>
      </c>
    </row>
    <row r="400" spans="1:7" ht="12.95" customHeight="1" x14ac:dyDescent="0.25">
      <c r="A400" s="64"/>
      <c r="B400" s="48" t="s">
        <v>31</v>
      </c>
      <c r="C400" s="65"/>
      <c r="D400" s="47">
        <f t="shared" si="26"/>
        <v>3776.7000000000003</v>
      </c>
      <c r="E400" s="47">
        <f>SUM(E44+E345+E352+E67+E72+E77+E83+E89+E96+E101+E107+E113+E118+E125+E132)</f>
        <v>3703.1000000000004</v>
      </c>
      <c r="F400" s="47">
        <f>SUM(F44+F345+F352+F67+F72+F77+F83+F89+F96+F101+F107+F113+F118+F125+F132)</f>
        <v>1182.1999999999998</v>
      </c>
      <c r="G400" s="47">
        <f>SUM(G44+G345+G352+G67+G72+G77+G83+G89+G96+G101+G107+G113+G118+G125+G132)</f>
        <v>73.599999999999994</v>
      </c>
    </row>
    <row r="401" spans="1:7" ht="12.95" customHeight="1" x14ac:dyDescent="0.25">
      <c r="A401" s="57"/>
      <c r="B401" s="13" t="s">
        <v>21</v>
      </c>
      <c r="C401" s="59"/>
      <c r="D401" s="14">
        <f t="shared" si="26"/>
        <v>1129.6000000000001</v>
      </c>
      <c r="E401" s="14">
        <f t="shared" ref="E401:F401" si="28">SUM(E45+E344+E351)</f>
        <v>332.2</v>
      </c>
      <c r="F401" s="14">
        <f t="shared" si="28"/>
        <v>261.8</v>
      </c>
      <c r="G401" s="14">
        <f>SUM(G45+G344+G351)</f>
        <v>797.40000000000009</v>
      </c>
    </row>
    <row r="402" spans="1:7" ht="12.95" customHeight="1" x14ac:dyDescent="0.25">
      <c r="A402" s="57"/>
      <c r="B402" s="13" t="s">
        <v>28</v>
      </c>
      <c r="C402" s="59"/>
      <c r="D402" s="14">
        <f t="shared" si="26"/>
        <v>133.10000000000002</v>
      </c>
      <c r="E402" s="14">
        <f>SUM(E346)</f>
        <v>3</v>
      </c>
      <c r="F402" s="14"/>
      <c r="G402" s="14">
        <f>SUM(G346+G46)</f>
        <v>130.10000000000002</v>
      </c>
    </row>
    <row r="403" spans="1:7" ht="12.95" customHeight="1" x14ac:dyDescent="0.25">
      <c r="A403" s="57"/>
      <c r="B403" s="13" t="s">
        <v>117</v>
      </c>
      <c r="C403" s="59"/>
      <c r="D403" s="14">
        <f t="shared" si="26"/>
        <v>42.6</v>
      </c>
      <c r="E403" s="14">
        <f>SUM(E347+E47)</f>
        <v>42.6</v>
      </c>
      <c r="F403" s="14">
        <f>SUM(F347+F47)</f>
        <v>37</v>
      </c>
      <c r="G403" s="14"/>
    </row>
    <row r="404" spans="1:7" ht="12.75" customHeight="1" x14ac:dyDescent="0.25">
      <c r="A404" s="66"/>
      <c r="B404" s="19" t="s">
        <v>20</v>
      </c>
      <c r="C404" s="66"/>
      <c r="D404" s="14">
        <f t="shared" si="26"/>
        <v>112.8</v>
      </c>
      <c r="E404" s="67">
        <f>SUM(E48+E348)</f>
        <v>112.8</v>
      </c>
      <c r="F404" s="67">
        <f>SUM(F48+F348)</f>
        <v>106.5</v>
      </c>
      <c r="G404" s="67"/>
    </row>
    <row r="405" spans="1:7" ht="12.95" customHeight="1" x14ac:dyDescent="0.25">
      <c r="A405" s="66"/>
      <c r="B405" s="13" t="s">
        <v>19</v>
      </c>
      <c r="C405" s="66"/>
      <c r="D405" s="14">
        <f t="shared" si="26"/>
        <v>216.79999999999998</v>
      </c>
      <c r="E405" s="67">
        <f>SUM(E349+E353)</f>
        <v>216.79999999999998</v>
      </c>
      <c r="F405" s="67">
        <f>SUM(F349+F353)</f>
        <v>36.6</v>
      </c>
      <c r="G405" s="67"/>
    </row>
    <row r="406" spans="1:7" ht="15" customHeight="1" x14ac:dyDescent="0.25">
      <c r="A406" s="87" t="s">
        <v>156</v>
      </c>
      <c r="B406" s="87"/>
      <c r="C406" s="51" t="s">
        <v>32</v>
      </c>
      <c r="D406" s="52">
        <f>SUM(G406+E406)</f>
        <v>489.70000000000005</v>
      </c>
      <c r="E406" s="52">
        <f>SUM(E407:E413)</f>
        <v>489.70000000000005</v>
      </c>
      <c r="F406" s="52">
        <f>SUM(F407:F413)</f>
        <v>271.7</v>
      </c>
      <c r="G406" s="75">
        <f>SUM(G407:G413)</f>
        <v>0</v>
      </c>
    </row>
    <row r="407" spans="1:7" ht="12.95" customHeight="1" x14ac:dyDescent="0.25">
      <c r="A407" s="57"/>
      <c r="B407" s="13" t="s">
        <v>15</v>
      </c>
      <c r="C407" s="59"/>
      <c r="D407" s="14">
        <f t="shared" ref="D407:D425" si="29">SUM(G407+E407)</f>
        <v>42.1</v>
      </c>
      <c r="E407" s="14">
        <f>SUM(E49+E355)</f>
        <v>42.1</v>
      </c>
      <c r="F407" s="14"/>
      <c r="G407" s="14"/>
    </row>
    <row r="408" spans="1:7" ht="12.95" customHeight="1" x14ac:dyDescent="0.25">
      <c r="A408" s="57"/>
      <c r="B408" s="48" t="s">
        <v>31</v>
      </c>
      <c r="C408" s="59"/>
      <c r="D408" s="14">
        <f t="shared" si="29"/>
        <v>3.2</v>
      </c>
      <c r="E408" s="14">
        <f>SUM(E356)</f>
        <v>3.2</v>
      </c>
      <c r="F408" s="14"/>
      <c r="G408" s="14"/>
    </row>
    <row r="409" spans="1:7" ht="12.95" customHeight="1" x14ac:dyDescent="0.25">
      <c r="A409" s="57"/>
      <c r="B409" s="55" t="s">
        <v>21</v>
      </c>
      <c r="C409" s="59"/>
      <c r="D409" s="14">
        <f t="shared" si="29"/>
        <v>34.700000000000003</v>
      </c>
      <c r="E409" s="14">
        <f>SUM(E50+E357)</f>
        <v>34.700000000000003</v>
      </c>
      <c r="F409" s="14">
        <f>SUM(F50+F357)</f>
        <v>2.6</v>
      </c>
      <c r="G409" s="14"/>
    </row>
    <row r="410" spans="1:7" ht="12.95" customHeight="1" x14ac:dyDescent="0.25">
      <c r="A410" s="57"/>
      <c r="B410" s="13" t="s">
        <v>24</v>
      </c>
      <c r="C410" s="59"/>
      <c r="D410" s="14">
        <f t="shared" si="29"/>
        <v>3.5</v>
      </c>
      <c r="E410" s="14">
        <f>SUM(E51+E358)</f>
        <v>3.5</v>
      </c>
      <c r="F410" s="14"/>
      <c r="G410" s="14"/>
    </row>
    <row r="411" spans="1:7" ht="12.95" customHeight="1" x14ac:dyDescent="0.25">
      <c r="A411" s="57"/>
      <c r="B411" s="13" t="s">
        <v>117</v>
      </c>
      <c r="C411" s="59"/>
      <c r="D411" s="14">
        <f t="shared" si="29"/>
        <v>18.100000000000001</v>
      </c>
      <c r="E411" s="14">
        <f>E359</f>
        <v>18.100000000000001</v>
      </c>
      <c r="F411" s="14"/>
      <c r="G411" s="14"/>
    </row>
    <row r="412" spans="1:7" ht="12.95" customHeight="1" x14ac:dyDescent="0.25">
      <c r="A412" s="66"/>
      <c r="B412" s="19" t="s">
        <v>20</v>
      </c>
      <c r="C412" s="66"/>
      <c r="D412" s="14">
        <f t="shared" si="29"/>
        <v>365.1</v>
      </c>
      <c r="E412" s="67">
        <f>SUM(E52+E360)</f>
        <v>365.1</v>
      </c>
      <c r="F412" s="67">
        <f>SUM(F52+F360)</f>
        <v>269.09999999999997</v>
      </c>
      <c r="G412" s="67"/>
    </row>
    <row r="413" spans="1:7" ht="12.95" customHeight="1" x14ac:dyDescent="0.25">
      <c r="A413" s="66"/>
      <c r="B413" s="13" t="s">
        <v>33</v>
      </c>
      <c r="C413" s="66"/>
      <c r="D413" s="14">
        <f t="shared" si="29"/>
        <v>23</v>
      </c>
      <c r="E413" s="67">
        <f>SUM(E53)</f>
        <v>23</v>
      </c>
      <c r="F413" s="68"/>
      <c r="G413" s="68"/>
    </row>
    <row r="414" spans="1:7" ht="15" customHeight="1" x14ac:dyDescent="0.25">
      <c r="A414" s="87" t="s">
        <v>157</v>
      </c>
      <c r="B414" s="87"/>
      <c r="C414" s="51" t="s">
        <v>34</v>
      </c>
      <c r="D414" s="52">
        <f t="shared" si="29"/>
        <v>1629.5</v>
      </c>
      <c r="E414" s="52">
        <f t="shared" ref="E414:F414" si="30">SUM(E415:E419)</f>
        <v>928.8</v>
      </c>
      <c r="F414" s="52">
        <f t="shared" si="30"/>
        <v>2.1999999999999997</v>
      </c>
      <c r="G414" s="52">
        <f>SUM(G415:G419)</f>
        <v>700.7</v>
      </c>
    </row>
    <row r="415" spans="1:7" ht="12.95" customHeight="1" x14ac:dyDescent="0.25">
      <c r="A415" s="57"/>
      <c r="B415" s="13" t="s">
        <v>15</v>
      </c>
      <c r="C415" s="59"/>
      <c r="D415" s="14">
        <f t="shared" si="29"/>
        <v>801.5</v>
      </c>
      <c r="E415" s="14">
        <f>SUM(E54)</f>
        <v>754.8</v>
      </c>
      <c r="F415" s="14"/>
      <c r="G415" s="14">
        <f>SUM(G54)</f>
        <v>46.7</v>
      </c>
    </row>
    <row r="416" spans="1:7" ht="12.95" customHeight="1" x14ac:dyDescent="0.25">
      <c r="A416" s="66"/>
      <c r="B416" s="13" t="s">
        <v>33</v>
      </c>
      <c r="C416" s="66"/>
      <c r="D416" s="14">
        <f t="shared" si="29"/>
        <v>127</v>
      </c>
      <c r="E416" s="67">
        <f>SUM(E55)</f>
        <v>95.5</v>
      </c>
      <c r="F416" s="67"/>
      <c r="G416" s="67">
        <f t="shared" ref="G416" si="31">SUM(G55)</f>
        <v>31.5</v>
      </c>
    </row>
    <row r="417" spans="1:7" ht="12.95" customHeight="1" x14ac:dyDescent="0.25">
      <c r="A417" s="66"/>
      <c r="B417" s="13" t="s">
        <v>21</v>
      </c>
      <c r="C417" s="66"/>
      <c r="D417" s="14">
        <f t="shared" si="29"/>
        <v>658.09999999999991</v>
      </c>
      <c r="E417" s="67">
        <f t="shared" ref="E417:F417" si="32">SUM(E56)</f>
        <v>71.3</v>
      </c>
      <c r="F417" s="67">
        <f t="shared" si="32"/>
        <v>2.1999999999999997</v>
      </c>
      <c r="G417" s="67">
        <f>SUM(G56)</f>
        <v>586.79999999999995</v>
      </c>
    </row>
    <row r="418" spans="1:7" ht="12.95" customHeight="1" x14ac:dyDescent="0.25">
      <c r="A418" s="66"/>
      <c r="B418" s="13" t="s">
        <v>117</v>
      </c>
      <c r="C418" s="66"/>
      <c r="D418" s="14">
        <f t="shared" si="29"/>
        <v>7.2</v>
      </c>
      <c r="E418" s="67">
        <f t="shared" ref="E418" si="33">SUM(E57)</f>
        <v>7.2</v>
      </c>
      <c r="F418" s="67"/>
      <c r="G418" s="67"/>
    </row>
    <row r="419" spans="1:7" ht="12.95" customHeight="1" x14ac:dyDescent="0.25">
      <c r="A419" s="66"/>
      <c r="B419" s="13" t="s">
        <v>28</v>
      </c>
      <c r="C419" s="66"/>
      <c r="D419" s="14">
        <f t="shared" si="29"/>
        <v>35.700000000000003</v>
      </c>
      <c r="E419" s="67"/>
      <c r="F419" s="67"/>
      <c r="G419" s="67">
        <f>SUM(G58)</f>
        <v>35.700000000000003</v>
      </c>
    </row>
    <row r="420" spans="1:7" ht="15" customHeight="1" x14ac:dyDescent="0.25">
      <c r="A420" s="87" t="s">
        <v>158</v>
      </c>
      <c r="B420" s="87"/>
      <c r="C420" s="51" t="s">
        <v>35</v>
      </c>
      <c r="D420" s="52">
        <f t="shared" si="29"/>
        <v>1015.2</v>
      </c>
      <c r="E420" s="52">
        <f>SUM(E421:E425)</f>
        <v>845.7</v>
      </c>
      <c r="F420" s="52">
        <f>SUM(F421:F425)</f>
        <v>0.3</v>
      </c>
      <c r="G420" s="52">
        <f>SUM(G421:G425)</f>
        <v>169.5</v>
      </c>
    </row>
    <row r="421" spans="1:7" ht="12.95" customHeight="1" x14ac:dyDescent="0.25">
      <c r="A421" s="57"/>
      <c r="B421" s="13" t="s">
        <v>15</v>
      </c>
      <c r="C421" s="59"/>
      <c r="D421" s="14">
        <f t="shared" si="29"/>
        <v>226.5</v>
      </c>
      <c r="E421" s="14">
        <f t="shared" ref="E421" si="34">SUM(E59+E296)</f>
        <v>77.7</v>
      </c>
      <c r="F421" s="14"/>
      <c r="G421" s="14">
        <f>SUM(G59+G296)</f>
        <v>148.80000000000001</v>
      </c>
    </row>
    <row r="422" spans="1:7" ht="12.95" customHeight="1" x14ac:dyDescent="0.25">
      <c r="A422" s="57"/>
      <c r="B422" s="13" t="s">
        <v>21</v>
      </c>
      <c r="C422" s="59"/>
      <c r="D422" s="14">
        <f t="shared" si="29"/>
        <v>131.69999999999999</v>
      </c>
      <c r="E422" s="14">
        <f t="shared" ref="E422:F422" si="35">SUM(E60+E294)</f>
        <v>121.5</v>
      </c>
      <c r="F422" s="14">
        <f t="shared" si="35"/>
        <v>0.3</v>
      </c>
      <c r="G422" s="14">
        <f>SUM(G60+G294)</f>
        <v>10.199999999999999</v>
      </c>
    </row>
    <row r="423" spans="1:7" ht="12.95" customHeight="1" x14ac:dyDescent="0.25">
      <c r="A423" s="57"/>
      <c r="B423" s="13" t="s">
        <v>24</v>
      </c>
      <c r="C423" s="59"/>
      <c r="D423" s="14">
        <f t="shared" si="29"/>
        <v>0.9</v>
      </c>
      <c r="E423" s="14"/>
      <c r="F423" s="14"/>
      <c r="G423" s="14">
        <f>SUM(G295)</f>
        <v>0.9</v>
      </c>
    </row>
    <row r="424" spans="1:7" ht="12.95" customHeight="1" x14ac:dyDescent="0.25">
      <c r="A424" s="57"/>
      <c r="B424" s="13" t="s">
        <v>28</v>
      </c>
      <c r="C424" s="59"/>
      <c r="D424" s="14">
        <f t="shared" si="29"/>
        <v>10.1</v>
      </c>
      <c r="E424" s="14">
        <f>E61</f>
        <v>0.5</v>
      </c>
      <c r="F424" s="14"/>
      <c r="G424" s="14">
        <f>SUM(G61)</f>
        <v>9.6</v>
      </c>
    </row>
    <row r="425" spans="1:7" ht="12.95" customHeight="1" x14ac:dyDescent="0.25">
      <c r="A425" s="66"/>
      <c r="B425" s="19" t="s">
        <v>20</v>
      </c>
      <c r="C425" s="66"/>
      <c r="D425" s="14">
        <f t="shared" si="29"/>
        <v>646</v>
      </c>
      <c r="E425" s="67">
        <f>SUM(E62)</f>
        <v>646</v>
      </c>
      <c r="F425" s="67"/>
      <c r="G425" s="67"/>
    </row>
    <row r="426" spans="1:7" ht="15" customHeight="1" x14ac:dyDescent="0.25">
      <c r="A426" s="88" t="s">
        <v>159</v>
      </c>
      <c r="B426" s="88"/>
      <c r="C426" s="88"/>
      <c r="D426" s="88"/>
      <c r="E426" s="88"/>
      <c r="F426" s="88"/>
      <c r="G426" s="88"/>
    </row>
    <row r="427" spans="1:7" ht="15" customHeight="1" x14ac:dyDescent="0.25"/>
    <row r="428" spans="1:7" ht="15" customHeight="1" x14ac:dyDescent="0.25"/>
    <row r="429" spans="1:7" ht="15" customHeight="1" x14ac:dyDescent="0.25"/>
    <row r="430" spans="1:7" ht="15" customHeight="1" x14ac:dyDescent="0.25"/>
    <row r="431" spans="1:7" ht="16.5" customHeight="1" x14ac:dyDescent="0.25"/>
    <row r="432" spans="1:7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4:A118"/>
    <mergeCell ref="A13:A14"/>
    <mergeCell ref="A15:A62"/>
    <mergeCell ref="A63:A67"/>
    <mergeCell ref="A68:A72"/>
    <mergeCell ref="A73:A77"/>
    <mergeCell ref="A78:A83"/>
    <mergeCell ref="A84:A89"/>
    <mergeCell ref="A90:A96"/>
    <mergeCell ref="A97:A101"/>
    <mergeCell ref="A102:A107"/>
    <mergeCell ref="A108:A113"/>
    <mergeCell ref="A184:A188"/>
    <mergeCell ref="A119:A125"/>
    <mergeCell ref="A126:A132"/>
    <mergeCell ref="A133:A135"/>
    <mergeCell ref="A136:A141"/>
    <mergeCell ref="A142:A146"/>
    <mergeCell ref="A154:A158"/>
    <mergeCell ref="A159:A163"/>
    <mergeCell ref="A171:A178"/>
    <mergeCell ref="A179:A183"/>
    <mergeCell ref="A147:A153"/>
    <mergeCell ref="A248:A252"/>
    <mergeCell ref="A189:A193"/>
    <mergeCell ref="A194:A198"/>
    <mergeCell ref="A199:A203"/>
    <mergeCell ref="A204:A208"/>
    <mergeCell ref="A209:A214"/>
    <mergeCell ref="A215:A220"/>
    <mergeCell ref="A221:A225"/>
    <mergeCell ref="A226:A230"/>
    <mergeCell ref="A231:A236"/>
    <mergeCell ref="A237:A242"/>
    <mergeCell ref="A243:A247"/>
    <mergeCell ref="A350:A353"/>
    <mergeCell ref="A354:A360"/>
    <mergeCell ref="A307:A310"/>
    <mergeCell ref="A253:A257"/>
    <mergeCell ref="A258:A262"/>
    <mergeCell ref="A263:A267"/>
    <mergeCell ref="A268:A272"/>
    <mergeCell ref="A277:A279"/>
    <mergeCell ref="A280:A285"/>
    <mergeCell ref="A286:A289"/>
    <mergeCell ref="A297:A300"/>
    <mergeCell ref="A301:A306"/>
    <mergeCell ref="A290:A296"/>
    <mergeCell ref="C16:C22"/>
    <mergeCell ref="C23:C30"/>
    <mergeCell ref="C31:C35"/>
    <mergeCell ref="C36:C42"/>
    <mergeCell ref="C43:C48"/>
    <mergeCell ref="A414:B414"/>
    <mergeCell ref="A420:B420"/>
    <mergeCell ref="A426:G426"/>
    <mergeCell ref="A362:B362"/>
    <mergeCell ref="A370:B370"/>
    <mergeCell ref="A381:B381"/>
    <mergeCell ref="A388:B388"/>
    <mergeCell ref="A398:B398"/>
    <mergeCell ref="A406:B406"/>
    <mergeCell ref="A361:B361"/>
    <mergeCell ref="A311:A314"/>
    <mergeCell ref="A315:A318"/>
    <mergeCell ref="A319:A321"/>
    <mergeCell ref="A322:A325"/>
    <mergeCell ref="A326:A329"/>
    <mergeCell ref="A330:A333"/>
    <mergeCell ref="A334:A337"/>
    <mergeCell ref="A338:A341"/>
    <mergeCell ref="A342:A349"/>
    <mergeCell ref="C75:C76"/>
    <mergeCell ref="C80:C82"/>
    <mergeCell ref="C86:C88"/>
    <mergeCell ref="C93:C95"/>
    <mergeCell ref="C99:C100"/>
    <mergeCell ref="C49:C53"/>
    <mergeCell ref="C54:C58"/>
    <mergeCell ref="C59:C62"/>
    <mergeCell ref="C65:C66"/>
    <mergeCell ref="C70:C71"/>
    <mergeCell ref="C134:C135"/>
    <mergeCell ref="C138:C141"/>
    <mergeCell ref="C144:C146"/>
    <mergeCell ref="C149:C152"/>
    <mergeCell ref="C156:C158"/>
    <mergeCell ref="C104:C106"/>
    <mergeCell ref="C110:C112"/>
    <mergeCell ref="C116:C117"/>
    <mergeCell ref="C122:C124"/>
    <mergeCell ref="C129:C131"/>
    <mergeCell ref="C191:C193"/>
    <mergeCell ref="C196:C198"/>
    <mergeCell ref="C201:C203"/>
    <mergeCell ref="C206:C208"/>
    <mergeCell ref="C211:C214"/>
    <mergeCell ref="C161:C163"/>
    <mergeCell ref="C166:C169"/>
    <mergeCell ref="C173:C178"/>
    <mergeCell ref="C181:C183"/>
    <mergeCell ref="C186:C188"/>
    <mergeCell ref="C250:C252"/>
    <mergeCell ref="C255:C257"/>
    <mergeCell ref="C260:C262"/>
    <mergeCell ref="C265:C267"/>
    <mergeCell ref="C217:C220"/>
    <mergeCell ref="C223:C225"/>
    <mergeCell ref="C228:C230"/>
    <mergeCell ref="C233:C236"/>
    <mergeCell ref="C239:C242"/>
    <mergeCell ref="C355:C360"/>
    <mergeCell ref="A273:A276"/>
    <mergeCell ref="A164:A170"/>
    <mergeCell ref="C332:C333"/>
    <mergeCell ref="C336:C337"/>
    <mergeCell ref="C340:C341"/>
    <mergeCell ref="C344:C349"/>
    <mergeCell ref="C351:C353"/>
    <mergeCell ref="C313:C314"/>
    <mergeCell ref="C317:C318"/>
    <mergeCell ref="C320:C321"/>
    <mergeCell ref="C324:C325"/>
    <mergeCell ref="C328:C329"/>
    <mergeCell ref="C292:C293"/>
    <mergeCell ref="C294:C296"/>
    <mergeCell ref="C299:C300"/>
    <mergeCell ref="C303:C306"/>
    <mergeCell ref="C309:C310"/>
    <mergeCell ref="C270:C272"/>
    <mergeCell ref="C274:C275"/>
    <mergeCell ref="C278:C279"/>
    <mergeCell ref="C281:C285"/>
    <mergeCell ref="C288:C289"/>
    <mergeCell ref="C245:C247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2020-08-11T08:01:33Z</cp:lastPrinted>
  <dcterms:created xsi:type="dcterms:W3CDTF">2019-02-14T11:38:38Z</dcterms:created>
  <dcterms:modified xsi:type="dcterms:W3CDTF">2020-08-19T08:00:32Z</dcterms:modified>
</cp:coreProperties>
</file>