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8_{3CB5A3F1-EC41-4752-9574-282E2BF089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8" i="1" l="1"/>
  <c r="E35" i="1" l="1"/>
  <c r="G35" i="1"/>
  <c r="E19" i="1"/>
  <c r="D500" i="1"/>
  <c r="G500" i="1"/>
  <c r="D36" i="1"/>
  <c r="G33" i="1"/>
  <c r="E33" i="1"/>
  <c r="F33" i="1"/>
  <c r="G269" i="1"/>
  <c r="E327" i="1"/>
  <c r="G32" i="1" l="1"/>
  <c r="G502" i="1"/>
  <c r="F515" i="1"/>
  <c r="G515" i="1"/>
  <c r="E121" i="1"/>
  <c r="F488" i="1"/>
  <c r="F296" i="1"/>
  <c r="F288" i="1"/>
  <c r="F287" i="1"/>
  <c r="G231" i="1"/>
  <c r="E231" i="1"/>
  <c r="G492" i="1"/>
  <c r="E178" i="1"/>
  <c r="G181" i="1"/>
  <c r="E181" i="1"/>
  <c r="F240" i="1"/>
  <c r="F380" i="1"/>
  <c r="F19" i="1"/>
  <c r="F45" i="1"/>
  <c r="E45" i="1"/>
  <c r="E464" i="1"/>
  <c r="E462" i="1" s="1"/>
  <c r="F464" i="1"/>
  <c r="F462" i="1" s="1"/>
  <c r="E422" i="1"/>
  <c r="E96" i="1"/>
  <c r="D122" i="1"/>
  <c r="G121" i="1"/>
  <c r="F121" i="1"/>
  <c r="E177" i="1" l="1"/>
  <c r="D121" i="1"/>
  <c r="G240" i="1"/>
  <c r="G494" i="1" s="1"/>
  <c r="E103" i="1"/>
  <c r="F103" i="1"/>
  <c r="G103" i="1"/>
  <c r="D104" i="1"/>
  <c r="D103" i="1" l="1"/>
  <c r="F69" i="1"/>
  <c r="G69" i="1"/>
  <c r="E69" i="1"/>
  <c r="D70" i="1"/>
  <c r="F155" i="1"/>
  <c r="G155" i="1"/>
  <c r="D155" i="1" s="1"/>
  <c r="E155" i="1"/>
  <c r="D156" i="1"/>
  <c r="E329" i="1"/>
  <c r="E321" i="1"/>
  <c r="F271" i="1"/>
  <c r="G271" i="1"/>
  <c r="E271" i="1"/>
  <c r="D272" i="1"/>
  <c r="F221" i="1"/>
  <c r="G221" i="1"/>
  <c r="E221" i="1"/>
  <c r="D221" i="1"/>
  <c r="D222" i="1"/>
  <c r="E209" i="1"/>
  <c r="F236" i="1"/>
  <c r="F242" i="1"/>
  <c r="G242" i="1"/>
  <c r="E242" i="1"/>
  <c r="D243" i="1"/>
  <c r="E240" i="1"/>
  <c r="E236" i="1" s="1"/>
  <c r="E154" i="1"/>
  <c r="E146" i="1"/>
  <c r="E148" i="1"/>
  <c r="E132" i="1"/>
  <c r="E114" i="1"/>
  <c r="E389" i="1"/>
  <c r="E502" i="1" s="1"/>
  <c r="E280" i="1"/>
  <c r="E304" i="1"/>
  <c r="E260" i="1"/>
  <c r="E256" i="1" s="1"/>
  <c r="E251" i="1"/>
  <c r="D467" i="1"/>
  <c r="E31" i="1"/>
  <c r="E494" i="1" s="1"/>
  <c r="E23" i="1"/>
  <c r="E47" i="1"/>
  <c r="E515" i="1" s="1"/>
  <c r="F35" i="1"/>
  <c r="F23" i="1"/>
  <c r="G42" i="1"/>
  <c r="G509" i="1" s="1"/>
  <c r="D258" i="1"/>
  <c r="E249" i="1"/>
  <c r="E489" i="1" s="1"/>
  <c r="E28" i="1"/>
  <c r="E488" i="1" s="1"/>
  <c r="E172" i="1"/>
  <c r="F172" i="1"/>
  <c r="E39" i="1"/>
  <c r="G39" i="1"/>
  <c r="E52" i="1"/>
  <c r="E521" i="1" s="1"/>
  <c r="E509" i="1" l="1"/>
  <c r="D242" i="1"/>
  <c r="D271" i="1"/>
  <c r="D69" i="1"/>
  <c r="F509" i="1"/>
  <c r="G481" i="1"/>
  <c r="F469" i="1"/>
  <c r="G469" i="1"/>
  <c r="E470" i="1"/>
  <c r="E469" i="1" s="1"/>
  <c r="F470" i="1"/>
  <c r="G470" i="1"/>
  <c r="G462" i="1"/>
  <c r="G460" i="1"/>
  <c r="F460" i="1"/>
  <c r="E460" i="1"/>
  <c r="G448" i="1"/>
  <c r="F448" i="1"/>
  <c r="E448" i="1"/>
  <c r="G455" i="1"/>
  <c r="F455" i="1"/>
  <c r="E455" i="1"/>
  <c r="G453" i="1"/>
  <c r="F453" i="1"/>
  <c r="E453" i="1"/>
  <c r="G446" i="1"/>
  <c r="F446" i="1"/>
  <c r="E446" i="1"/>
  <c r="G441" i="1"/>
  <c r="F441" i="1"/>
  <c r="E441" i="1"/>
  <c r="E439" i="1"/>
  <c r="E438" i="1" s="1"/>
  <c r="F439" i="1"/>
  <c r="G439" i="1"/>
  <c r="G432" i="1"/>
  <c r="F432" i="1"/>
  <c r="E432" i="1"/>
  <c r="G425" i="1"/>
  <c r="F425" i="1"/>
  <c r="E425" i="1"/>
  <c r="G434" i="1"/>
  <c r="F434" i="1"/>
  <c r="E434" i="1"/>
  <c r="G427" i="1"/>
  <c r="F427" i="1"/>
  <c r="E427" i="1"/>
  <c r="G420" i="1"/>
  <c r="G419" i="1" s="1"/>
  <c r="F420" i="1"/>
  <c r="F419" i="1" s="1"/>
  <c r="E420" i="1"/>
  <c r="E419" i="1" s="1"/>
  <c r="E417" i="1"/>
  <c r="F417" i="1"/>
  <c r="G417" i="1"/>
  <c r="D418" i="1"/>
  <c r="D417" i="1" s="1"/>
  <c r="G413" i="1"/>
  <c r="F413" i="1"/>
  <c r="E413" i="1"/>
  <c r="G411" i="1"/>
  <c r="F411" i="1"/>
  <c r="E411" i="1"/>
  <c r="G404" i="1"/>
  <c r="G403" i="1" s="1"/>
  <c r="F404" i="1"/>
  <c r="E404" i="1"/>
  <c r="G406" i="1"/>
  <c r="F406" i="1"/>
  <c r="E406" i="1"/>
  <c r="G399" i="1"/>
  <c r="G398" i="1" s="1"/>
  <c r="F399" i="1"/>
  <c r="F398" i="1" s="1"/>
  <c r="E399" i="1"/>
  <c r="E398" i="1" s="1"/>
  <c r="G394" i="1"/>
  <c r="F394" i="1"/>
  <c r="E394" i="1"/>
  <c r="G392" i="1"/>
  <c r="F392" i="1"/>
  <c r="E392" i="1"/>
  <c r="G387" i="1"/>
  <c r="G386" i="1" s="1"/>
  <c r="F387" i="1"/>
  <c r="F386" i="1" s="1"/>
  <c r="E387" i="1"/>
  <c r="E386" i="1" s="1"/>
  <c r="E382" i="1"/>
  <c r="F382" i="1"/>
  <c r="G382" i="1"/>
  <c r="E378" i="1"/>
  <c r="F378" i="1"/>
  <c r="G378" i="1"/>
  <c r="E372" i="1"/>
  <c r="F372" i="1"/>
  <c r="G372" i="1"/>
  <c r="E370" i="1"/>
  <c r="F370" i="1"/>
  <c r="G370" i="1"/>
  <c r="G369" i="1" s="1"/>
  <c r="E364" i="1"/>
  <c r="E363" i="1" s="1"/>
  <c r="F364" i="1"/>
  <c r="F363" i="1" s="1"/>
  <c r="G364" i="1"/>
  <c r="G363" i="1" s="1"/>
  <c r="E360" i="1"/>
  <c r="E359" i="1" s="1"/>
  <c r="F360" i="1"/>
  <c r="F359" i="1" s="1"/>
  <c r="G360" i="1"/>
  <c r="G359" i="1" s="1"/>
  <c r="E357" i="1"/>
  <c r="F357" i="1"/>
  <c r="G357" i="1"/>
  <c r="E354" i="1"/>
  <c r="F354" i="1"/>
  <c r="G354" i="1"/>
  <c r="E349" i="1"/>
  <c r="F349" i="1"/>
  <c r="G349" i="1"/>
  <c r="E342" i="1"/>
  <c r="F342" i="1"/>
  <c r="G342" i="1"/>
  <c r="E334" i="1"/>
  <c r="F334" i="1"/>
  <c r="G334" i="1"/>
  <c r="E326" i="1"/>
  <c r="F326" i="1"/>
  <c r="G326" i="1"/>
  <c r="E318" i="1"/>
  <c r="F318" i="1"/>
  <c r="G318" i="1"/>
  <c r="G347" i="1"/>
  <c r="F347" i="1"/>
  <c r="E347" i="1"/>
  <c r="G340" i="1"/>
  <c r="F340" i="1"/>
  <c r="E340" i="1"/>
  <c r="G332" i="1"/>
  <c r="F332" i="1"/>
  <c r="E332" i="1"/>
  <c r="G324" i="1"/>
  <c r="F324" i="1"/>
  <c r="E324" i="1"/>
  <c r="G316" i="1"/>
  <c r="F316" i="1"/>
  <c r="E316" i="1"/>
  <c r="E309" i="1"/>
  <c r="F309" i="1"/>
  <c r="G309" i="1"/>
  <c r="G301" i="1"/>
  <c r="F301" i="1"/>
  <c r="E301" i="1"/>
  <c r="G293" i="1"/>
  <c r="F293" i="1"/>
  <c r="E293" i="1"/>
  <c r="G307" i="1"/>
  <c r="F307" i="1"/>
  <c r="E307" i="1"/>
  <c r="G299" i="1"/>
  <c r="F299" i="1"/>
  <c r="E299" i="1"/>
  <c r="G291" i="1"/>
  <c r="F291" i="1"/>
  <c r="E291" i="1"/>
  <c r="E276" i="1"/>
  <c r="F276" i="1"/>
  <c r="G276" i="1"/>
  <c r="E265" i="1"/>
  <c r="F265" i="1"/>
  <c r="G265" i="1"/>
  <c r="G285" i="1"/>
  <c r="F285" i="1"/>
  <c r="E285" i="1"/>
  <c r="G283" i="1"/>
  <c r="F283" i="1"/>
  <c r="E283" i="1"/>
  <c r="G274" i="1"/>
  <c r="F274" i="1"/>
  <c r="F273" i="1" s="1"/>
  <c r="E274" i="1"/>
  <c r="G263" i="1"/>
  <c r="F263" i="1"/>
  <c r="F262" i="1" s="1"/>
  <c r="E263" i="1"/>
  <c r="F256" i="1"/>
  <c r="G256" i="1"/>
  <c r="G247" i="1"/>
  <c r="F247" i="1"/>
  <c r="E247" i="1"/>
  <c r="G254" i="1"/>
  <c r="F254" i="1"/>
  <c r="E254" i="1"/>
  <c r="G245" i="1"/>
  <c r="F245" i="1"/>
  <c r="E245" i="1"/>
  <c r="G236" i="1"/>
  <c r="G234" i="1"/>
  <c r="F234" i="1"/>
  <c r="E234" i="1"/>
  <c r="E233" i="1" s="1"/>
  <c r="G226" i="1"/>
  <c r="F226" i="1"/>
  <c r="E226" i="1"/>
  <c r="G224" i="1"/>
  <c r="F224" i="1"/>
  <c r="E224" i="1"/>
  <c r="G214" i="1"/>
  <c r="F214" i="1"/>
  <c r="E214" i="1"/>
  <c r="G212" i="1"/>
  <c r="F212" i="1"/>
  <c r="E212" i="1"/>
  <c r="G204" i="1"/>
  <c r="F204" i="1"/>
  <c r="E204" i="1"/>
  <c r="G202" i="1"/>
  <c r="F202" i="1"/>
  <c r="E202" i="1"/>
  <c r="E194" i="1"/>
  <c r="F194" i="1"/>
  <c r="G194" i="1"/>
  <c r="G192" i="1"/>
  <c r="F192" i="1"/>
  <c r="E192" i="1"/>
  <c r="G211" i="1" l="1"/>
  <c r="E262" i="1"/>
  <c r="E211" i="1"/>
  <c r="G424" i="1"/>
  <c r="G438" i="1"/>
  <c r="D438" i="1" s="1"/>
  <c r="G445" i="1"/>
  <c r="F438" i="1"/>
  <c r="G459" i="1"/>
  <c r="F211" i="1"/>
  <c r="G262" i="1"/>
  <c r="E410" i="1"/>
  <c r="F445" i="1"/>
  <c r="G452" i="1"/>
  <c r="G353" i="1"/>
  <c r="F353" i="1"/>
  <c r="G377" i="1"/>
  <c r="E452" i="1"/>
  <c r="D452" i="1" s="1"/>
  <c r="E431" i="1"/>
  <c r="F424" i="1"/>
  <c r="G431" i="1"/>
  <c r="E445" i="1"/>
  <c r="F452" i="1"/>
  <c r="F459" i="1"/>
  <c r="F391" i="1"/>
  <c r="E403" i="1"/>
  <c r="D403" i="1" s="1"/>
  <c r="E459" i="1"/>
  <c r="D481" i="1"/>
  <c r="E306" i="1"/>
  <c r="E353" i="1"/>
  <c r="G233" i="1"/>
  <c r="F369" i="1"/>
  <c r="E369" i="1"/>
  <c r="D369" i="1" s="1"/>
  <c r="E377" i="1"/>
  <c r="E391" i="1"/>
  <c r="F403" i="1"/>
  <c r="G410" i="1"/>
  <c r="G244" i="1"/>
  <c r="G306" i="1"/>
  <c r="F191" i="1"/>
  <c r="F290" i="1"/>
  <c r="G298" i="1"/>
  <c r="F377" i="1"/>
  <c r="G391" i="1"/>
  <c r="F410" i="1"/>
  <c r="E424" i="1"/>
  <c r="F431" i="1"/>
  <c r="F233" i="1"/>
  <c r="G191" i="1"/>
  <c r="D398" i="1"/>
  <c r="E191" i="1"/>
  <c r="G273" i="1"/>
  <c r="E244" i="1"/>
  <c r="E273" i="1"/>
  <c r="F306" i="1"/>
  <c r="E201" i="1"/>
  <c r="G223" i="1"/>
  <c r="G253" i="1"/>
  <c r="G282" i="1"/>
  <c r="G290" i="1"/>
  <c r="F201" i="1"/>
  <c r="G201" i="1"/>
  <c r="E223" i="1"/>
  <c r="F223" i="1"/>
  <c r="E253" i="1"/>
  <c r="F244" i="1"/>
  <c r="F253" i="1"/>
  <c r="E282" i="1"/>
  <c r="F282" i="1"/>
  <c r="F298" i="1"/>
  <c r="E298" i="1"/>
  <c r="E290" i="1"/>
  <c r="E186" i="1"/>
  <c r="F186" i="1"/>
  <c r="G186" i="1"/>
  <c r="G184" i="1"/>
  <c r="G183" i="1" s="1"/>
  <c r="F184" i="1"/>
  <c r="E184" i="1"/>
  <c r="F177" i="1"/>
  <c r="G177" i="1"/>
  <c r="G175" i="1"/>
  <c r="F175" i="1"/>
  <c r="E175" i="1"/>
  <c r="E171" i="1"/>
  <c r="F171" i="1"/>
  <c r="G171" i="1"/>
  <c r="G168" i="1"/>
  <c r="F168" i="1"/>
  <c r="E168" i="1"/>
  <c r="G165" i="1"/>
  <c r="F165" i="1"/>
  <c r="E165" i="1"/>
  <c r="G163" i="1"/>
  <c r="F163" i="1"/>
  <c r="E163" i="1"/>
  <c r="G160" i="1"/>
  <c r="F160" i="1"/>
  <c r="E160" i="1"/>
  <c r="G157" i="1"/>
  <c r="F157" i="1"/>
  <c r="E157" i="1"/>
  <c r="G153" i="1"/>
  <c r="F153" i="1"/>
  <c r="E153" i="1"/>
  <c r="G150" i="1"/>
  <c r="F150" i="1"/>
  <c r="E150" i="1"/>
  <c r="G147" i="1"/>
  <c r="F147" i="1"/>
  <c r="E147" i="1"/>
  <c r="G145" i="1"/>
  <c r="F145" i="1"/>
  <c r="E145" i="1"/>
  <c r="G142" i="1"/>
  <c r="F142" i="1"/>
  <c r="E142" i="1"/>
  <c r="G139" i="1"/>
  <c r="F139" i="1"/>
  <c r="E139" i="1"/>
  <c r="G137" i="1"/>
  <c r="F137" i="1"/>
  <c r="E137" i="1"/>
  <c r="G134" i="1"/>
  <c r="F134" i="1"/>
  <c r="E134" i="1"/>
  <c r="G131" i="1"/>
  <c r="F131" i="1"/>
  <c r="E131" i="1"/>
  <c r="G129" i="1"/>
  <c r="F129" i="1"/>
  <c r="E129" i="1"/>
  <c r="G126" i="1"/>
  <c r="F126" i="1"/>
  <c r="E126" i="1"/>
  <c r="G123" i="1"/>
  <c r="F123" i="1"/>
  <c r="E123" i="1"/>
  <c r="G119" i="1"/>
  <c r="F119" i="1"/>
  <c r="E119" i="1"/>
  <c r="G116" i="1"/>
  <c r="F116" i="1"/>
  <c r="E116" i="1"/>
  <c r="G113" i="1"/>
  <c r="F113" i="1"/>
  <c r="E113" i="1"/>
  <c r="G111" i="1"/>
  <c r="F111" i="1"/>
  <c r="E111" i="1"/>
  <c r="G108" i="1"/>
  <c r="F108" i="1"/>
  <c r="E108" i="1"/>
  <c r="G105" i="1"/>
  <c r="F105" i="1"/>
  <c r="E105" i="1"/>
  <c r="G101" i="1"/>
  <c r="F101" i="1"/>
  <c r="E101" i="1"/>
  <c r="G98" i="1"/>
  <c r="F98" i="1"/>
  <c r="E98" i="1"/>
  <c r="G95" i="1"/>
  <c r="F95" i="1"/>
  <c r="E95" i="1"/>
  <c r="G93" i="1"/>
  <c r="F93" i="1"/>
  <c r="E93" i="1"/>
  <c r="G90" i="1"/>
  <c r="F90" i="1"/>
  <c r="E90" i="1"/>
  <c r="G87" i="1"/>
  <c r="F87" i="1"/>
  <c r="E87" i="1"/>
  <c r="G85" i="1"/>
  <c r="F85" i="1"/>
  <c r="E85" i="1"/>
  <c r="G82" i="1"/>
  <c r="F82" i="1"/>
  <c r="E82" i="1"/>
  <c r="G79" i="1"/>
  <c r="F79" i="1"/>
  <c r="E79" i="1"/>
  <c r="G77" i="1"/>
  <c r="F77" i="1"/>
  <c r="E77" i="1"/>
  <c r="E74" i="1"/>
  <c r="F74" i="1"/>
  <c r="G74" i="1"/>
  <c r="F67" i="1"/>
  <c r="F71" i="1"/>
  <c r="G71" i="1"/>
  <c r="E71" i="1"/>
  <c r="G67" i="1"/>
  <c r="E67" i="1"/>
  <c r="D21" i="1"/>
  <c r="E60" i="1"/>
  <c r="F60" i="1"/>
  <c r="G60" i="1"/>
  <c r="E56" i="1"/>
  <c r="F56" i="1"/>
  <c r="G56" i="1"/>
  <c r="G14" i="1"/>
  <c r="E49" i="1"/>
  <c r="F49" i="1"/>
  <c r="G49" i="1"/>
  <c r="G43" i="1"/>
  <c r="F43" i="1"/>
  <c r="E43" i="1"/>
  <c r="E37" i="1"/>
  <c r="F37" i="1"/>
  <c r="G37" i="1"/>
  <c r="E32" i="1"/>
  <c r="F32" i="1"/>
  <c r="E25" i="1"/>
  <c r="F25" i="1"/>
  <c r="G25" i="1"/>
  <c r="E17" i="1"/>
  <c r="F17" i="1"/>
  <c r="G17" i="1"/>
  <c r="E14" i="1"/>
  <c r="F14" i="1"/>
  <c r="G534" i="1"/>
  <c r="E534" i="1"/>
  <c r="G533" i="1"/>
  <c r="G532" i="1"/>
  <c r="D532" i="1" s="1"/>
  <c r="E531" i="1"/>
  <c r="D531" i="1" s="1"/>
  <c r="G530" i="1"/>
  <c r="F530" i="1"/>
  <c r="F529" i="1" s="1"/>
  <c r="E530" i="1"/>
  <c r="G528" i="1"/>
  <c r="E528" i="1"/>
  <c r="G527" i="1"/>
  <c r="E527" i="1"/>
  <c r="G526" i="1"/>
  <c r="F526" i="1"/>
  <c r="F525" i="1" s="1"/>
  <c r="E526" i="1"/>
  <c r="E524" i="1"/>
  <c r="D524" i="1" s="1"/>
  <c r="E523" i="1"/>
  <c r="D523" i="1" s="1"/>
  <c r="E522" i="1"/>
  <c r="F521" i="1"/>
  <c r="D521" i="1"/>
  <c r="F520" i="1"/>
  <c r="E520" i="1"/>
  <c r="D520" i="1" s="1"/>
  <c r="F519" i="1"/>
  <c r="E519" i="1"/>
  <c r="D519" i="1" s="1"/>
  <c r="G518" i="1"/>
  <c r="F517" i="1"/>
  <c r="E517" i="1"/>
  <c r="D517" i="1" s="1"/>
  <c r="F516" i="1"/>
  <c r="E516" i="1"/>
  <c r="F514" i="1"/>
  <c r="E514" i="1"/>
  <c r="D514" i="1" s="1"/>
  <c r="F513" i="1"/>
  <c r="E513" i="1"/>
  <c r="D513" i="1" s="1"/>
  <c r="G512" i="1"/>
  <c r="F512" i="1"/>
  <c r="E512" i="1"/>
  <c r="E510" i="1"/>
  <c r="D510" i="1" s="1"/>
  <c r="D509" i="1"/>
  <c r="G508" i="1"/>
  <c r="D508" i="1" s="1"/>
  <c r="G507" i="1"/>
  <c r="E507" i="1"/>
  <c r="F506" i="1"/>
  <c r="E506" i="1"/>
  <c r="G505" i="1"/>
  <c r="D505" i="1" s="1"/>
  <c r="G503" i="1"/>
  <c r="E503" i="1"/>
  <c r="F502" i="1"/>
  <c r="G501" i="1"/>
  <c r="D501" i="1" s="1"/>
  <c r="F499" i="1"/>
  <c r="E499" i="1"/>
  <c r="D499" i="1" s="1"/>
  <c r="G498" i="1"/>
  <c r="G497" i="1"/>
  <c r="G496" i="1" s="1"/>
  <c r="F497" i="1"/>
  <c r="E497" i="1"/>
  <c r="G495" i="1"/>
  <c r="E495" i="1"/>
  <c r="F494" i="1"/>
  <c r="G493" i="1"/>
  <c r="D493" i="1" s="1"/>
  <c r="F492" i="1"/>
  <c r="E492" i="1"/>
  <c r="F491" i="1"/>
  <c r="E491" i="1"/>
  <c r="D491" i="1" s="1"/>
  <c r="F490" i="1"/>
  <c r="E490" i="1"/>
  <c r="F489" i="1"/>
  <c r="D489" i="1"/>
  <c r="F487" i="1"/>
  <c r="E487" i="1"/>
  <c r="G486" i="1"/>
  <c r="F486" i="1"/>
  <c r="E486" i="1"/>
  <c r="E484" i="1"/>
  <c r="D484" i="1" s="1"/>
  <c r="G483" i="1"/>
  <c r="F483" i="1"/>
  <c r="E483" i="1"/>
  <c r="G482" i="1"/>
  <c r="E480" i="1"/>
  <c r="D480" i="1" s="1"/>
  <c r="F479" i="1"/>
  <c r="E479" i="1"/>
  <c r="D479" i="1" s="1"/>
  <c r="G478" i="1"/>
  <c r="E478" i="1"/>
  <c r="D475" i="1"/>
  <c r="D474" i="1"/>
  <c r="D473" i="1"/>
  <c r="D472" i="1"/>
  <c r="D471" i="1"/>
  <c r="D468" i="1"/>
  <c r="D466" i="1"/>
  <c r="D465" i="1"/>
  <c r="D464" i="1"/>
  <c r="D463" i="1"/>
  <c r="D461" i="1"/>
  <c r="D460" i="1" s="1"/>
  <c r="D458" i="1"/>
  <c r="D457" i="1"/>
  <c r="D456" i="1"/>
  <c r="D454" i="1"/>
  <c r="D453" i="1" s="1"/>
  <c r="D451" i="1"/>
  <c r="D450" i="1"/>
  <c r="D449" i="1"/>
  <c r="D447" i="1"/>
  <c r="D446" i="1" s="1"/>
  <c r="D444" i="1"/>
  <c r="D443" i="1"/>
  <c r="D442" i="1"/>
  <c r="D440" i="1"/>
  <c r="D439" i="1" s="1"/>
  <c r="D437" i="1"/>
  <c r="D436" i="1"/>
  <c r="D435" i="1"/>
  <c r="D433" i="1"/>
  <c r="D432" i="1" s="1"/>
  <c r="D430" i="1"/>
  <c r="D429" i="1"/>
  <c r="D428" i="1"/>
  <c r="D426" i="1"/>
  <c r="D425" i="1" s="1"/>
  <c r="D423" i="1"/>
  <c r="D422" i="1"/>
  <c r="D421" i="1"/>
  <c r="D416" i="1"/>
  <c r="D415" i="1"/>
  <c r="D414" i="1"/>
  <c r="D412" i="1"/>
  <c r="D411" i="1" s="1"/>
  <c r="D409" i="1"/>
  <c r="D408" i="1"/>
  <c r="D407" i="1"/>
  <c r="D405" i="1"/>
  <c r="D404" i="1" s="1"/>
  <c r="D402" i="1"/>
  <c r="D401" i="1"/>
  <c r="D400" i="1"/>
  <c r="D397" i="1"/>
  <c r="D396" i="1"/>
  <c r="D395" i="1"/>
  <c r="D393" i="1"/>
  <c r="D392" i="1" s="1"/>
  <c r="D390" i="1"/>
  <c r="D389" i="1"/>
  <c r="D388" i="1"/>
  <c r="D385" i="1"/>
  <c r="D384" i="1"/>
  <c r="D383" i="1"/>
  <c r="D381" i="1"/>
  <c r="D380" i="1"/>
  <c r="D379" i="1"/>
  <c r="D376" i="1"/>
  <c r="D375" i="1"/>
  <c r="D374" i="1"/>
  <c r="D373" i="1"/>
  <c r="D371" i="1"/>
  <c r="D370" i="1" s="1"/>
  <c r="D368" i="1"/>
  <c r="D367" i="1"/>
  <c r="D366" i="1"/>
  <c r="D365" i="1"/>
  <c r="D363" i="1"/>
  <c r="D362" i="1"/>
  <c r="D361" i="1"/>
  <c r="D359" i="1"/>
  <c r="D358" i="1"/>
  <c r="D357" i="1" s="1"/>
  <c r="D356" i="1"/>
  <c r="D355" i="1"/>
  <c r="G346" i="1"/>
  <c r="F346" i="1"/>
  <c r="F339" i="1" s="1"/>
  <c r="F331" i="1" s="1"/>
  <c r="E346" i="1"/>
  <c r="E339" i="1" s="1"/>
  <c r="D352" i="1"/>
  <c r="D351" i="1"/>
  <c r="D350" i="1"/>
  <c r="D348" i="1"/>
  <c r="D347" i="1" s="1"/>
  <c r="D345" i="1"/>
  <c r="D344" i="1"/>
  <c r="D343" i="1"/>
  <c r="D341" i="1"/>
  <c r="D340" i="1" s="1"/>
  <c r="D338" i="1"/>
  <c r="D337" i="1"/>
  <c r="D336" i="1"/>
  <c r="D335" i="1"/>
  <c r="D333" i="1"/>
  <c r="D332" i="1" s="1"/>
  <c r="D330" i="1"/>
  <c r="D329" i="1"/>
  <c r="D328" i="1"/>
  <c r="D327" i="1"/>
  <c r="D325" i="1"/>
  <c r="D324" i="1" s="1"/>
  <c r="D322" i="1"/>
  <c r="D321" i="1"/>
  <c r="D320" i="1"/>
  <c r="D319" i="1"/>
  <c r="D317" i="1"/>
  <c r="D316" i="1" s="1"/>
  <c r="D314" i="1"/>
  <c r="D313" i="1"/>
  <c r="D312" i="1"/>
  <c r="D311" i="1"/>
  <c r="D310" i="1"/>
  <c r="D308" i="1"/>
  <c r="D307" i="1" s="1"/>
  <c r="D305" i="1"/>
  <c r="D304" i="1"/>
  <c r="D303" i="1"/>
  <c r="D302" i="1"/>
  <c r="D300" i="1"/>
  <c r="D299" i="1" s="1"/>
  <c r="D297" i="1"/>
  <c r="D296" i="1"/>
  <c r="D295" i="1"/>
  <c r="D294" i="1"/>
  <c r="D292" i="1"/>
  <c r="D291" i="1" s="1"/>
  <c r="D289" i="1"/>
  <c r="D288" i="1"/>
  <c r="D287" i="1"/>
  <c r="D286" i="1"/>
  <c r="D284" i="1"/>
  <c r="D283" i="1" s="1"/>
  <c r="D281" i="1"/>
  <c r="D280" i="1"/>
  <c r="D279" i="1"/>
  <c r="D278" i="1"/>
  <c r="D277" i="1"/>
  <c r="D275" i="1"/>
  <c r="D274" i="1" s="1"/>
  <c r="D270" i="1"/>
  <c r="D269" i="1"/>
  <c r="D268" i="1"/>
  <c r="D267" i="1"/>
  <c r="D266" i="1"/>
  <c r="D264" i="1"/>
  <c r="D263" i="1" s="1"/>
  <c r="D261" i="1"/>
  <c r="D260" i="1"/>
  <c r="D259" i="1"/>
  <c r="D257" i="1"/>
  <c r="D255" i="1"/>
  <c r="D254" i="1" s="1"/>
  <c r="D252" i="1"/>
  <c r="D251" i="1"/>
  <c r="D250" i="1"/>
  <c r="D249" i="1"/>
  <c r="D248" i="1"/>
  <c r="D246" i="1"/>
  <c r="D245" i="1" s="1"/>
  <c r="D241" i="1"/>
  <c r="D240" i="1"/>
  <c r="D239" i="1"/>
  <c r="D238" i="1"/>
  <c r="D237" i="1"/>
  <c r="D235" i="1"/>
  <c r="D234" i="1" s="1"/>
  <c r="D232" i="1"/>
  <c r="D231" i="1"/>
  <c r="D230" i="1"/>
  <c r="D229" i="1"/>
  <c r="D228" i="1"/>
  <c r="D227" i="1"/>
  <c r="D225" i="1"/>
  <c r="D224" i="1" s="1"/>
  <c r="D220" i="1"/>
  <c r="D219" i="1"/>
  <c r="D218" i="1"/>
  <c r="D217" i="1"/>
  <c r="D216" i="1"/>
  <c r="D215" i="1"/>
  <c r="D213" i="1"/>
  <c r="D212" i="1" s="1"/>
  <c r="D210" i="1"/>
  <c r="D209" i="1"/>
  <c r="D208" i="1"/>
  <c r="D207" i="1"/>
  <c r="D206" i="1"/>
  <c r="D205" i="1"/>
  <c r="D203" i="1"/>
  <c r="D202" i="1" s="1"/>
  <c r="D200" i="1"/>
  <c r="D199" i="1"/>
  <c r="D198" i="1"/>
  <c r="D197" i="1"/>
  <c r="D196" i="1"/>
  <c r="D195" i="1"/>
  <c r="D193" i="1"/>
  <c r="D192" i="1" s="1"/>
  <c r="D190" i="1"/>
  <c r="D189" i="1"/>
  <c r="D188" i="1"/>
  <c r="D187" i="1"/>
  <c r="D185" i="1"/>
  <c r="D184" i="1" s="1"/>
  <c r="D182" i="1"/>
  <c r="D181" i="1"/>
  <c r="D180" i="1"/>
  <c r="D179" i="1"/>
  <c r="D178" i="1"/>
  <c r="D176" i="1"/>
  <c r="D175" i="1" s="1"/>
  <c r="D173" i="1"/>
  <c r="D172" i="1"/>
  <c r="G170" i="1"/>
  <c r="F170" i="1"/>
  <c r="E170" i="1"/>
  <c r="D169" i="1"/>
  <c r="D168" i="1" s="1"/>
  <c r="D167" i="1"/>
  <c r="D166" i="1"/>
  <c r="D164" i="1"/>
  <c r="D163" i="1" s="1"/>
  <c r="D161" i="1"/>
  <c r="D160" i="1" s="1"/>
  <c r="D159" i="1"/>
  <c r="D158" i="1"/>
  <c r="D154" i="1"/>
  <c r="D153" i="1" s="1"/>
  <c r="D151" i="1"/>
  <c r="D150" i="1" s="1"/>
  <c r="D149" i="1"/>
  <c r="D148" i="1"/>
  <c r="D146" i="1"/>
  <c r="D145" i="1" s="1"/>
  <c r="D143" i="1"/>
  <c r="D142" i="1" s="1"/>
  <c r="D141" i="1"/>
  <c r="D140" i="1"/>
  <c r="D138" i="1"/>
  <c r="D137" i="1" s="1"/>
  <c r="D135" i="1"/>
  <c r="D134" i="1" s="1"/>
  <c r="D133" i="1"/>
  <c r="D132" i="1"/>
  <c r="D130" i="1"/>
  <c r="D129" i="1" s="1"/>
  <c r="D127" i="1"/>
  <c r="D126" i="1" s="1"/>
  <c r="D125" i="1"/>
  <c r="D124" i="1"/>
  <c r="D120" i="1"/>
  <c r="D119" i="1" s="1"/>
  <c r="D117" i="1"/>
  <c r="D116" i="1" s="1"/>
  <c r="D115" i="1"/>
  <c r="D114" i="1"/>
  <c r="D112" i="1"/>
  <c r="D111" i="1" s="1"/>
  <c r="D109" i="1"/>
  <c r="D108" i="1" s="1"/>
  <c r="D107" i="1"/>
  <c r="D106" i="1"/>
  <c r="D102" i="1"/>
  <c r="D101" i="1" s="1"/>
  <c r="D99" i="1"/>
  <c r="D98" i="1" s="1"/>
  <c r="D97" i="1"/>
  <c r="D96" i="1"/>
  <c r="D94" i="1"/>
  <c r="D93" i="1" s="1"/>
  <c r="D91" i="1"/>
  <c r="D90" i="1" s="1"/>
  <c r="D89" i="1"/>
  <c r="D88" i="1"/>
  <c r="D86" i="1"/>
  <c r="D85" i="1" s="1"/>
  <c r="D83" i="1"/>
  <c r="D82" i="1" s="1"/>
  <c r="D81" i="1"/>
  <c r="D80" i="1"/>
  <c r="D78" i="1"/>
  <c r="D77" i="1" s="1"/>
  <c r="D75" i="1"/>
  <c r="D74" i="1" s="1"/>
  <c r="D73" i="1"/>
  <c r="D72" i="1"/>
  <c r="D68" i="1"/>
  <c r="D67" i="1" s="1"/>
  <c r="D65" i="1"/>
  <c r="D64" i="1"/>
  <c r="D63" i="1"/>
  <c r="D62" i="1"/>
  <c r="D61" i="1"/>
  <c r="D59" i="1"/>
  <c r="D58" i="1"/>
  <c r="D57" i="1"/>
  <c r="D55" i="1"/>
  <c r="D54" i="1"/>
  <c r="D53" i="1"/>
  <c r="D52" i="1"/>
  <c r="D51" i="1"/>
  <c r="D50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E92" i="1" l="1"/>
  <c r="D490" i="1"/>
  <c r="D353" i="1"/>
  <c r="D445" i="1"/>
  <c r="D211" i="1"/>
  <c r="D462" i="1"/>
  <c r="D32" i="1"/>
  <c r="E118" i="1"/>
  <c r="E152" i="1"/>
  <c r="D526" i="1"/>
  <c r="F118" i="1"/>
  <c r="F152" i="1"/>
  <c r="D306" i="1"/>
  <c r="G485" i="1"/>
  <c r="E66" i="1"/>
  <c r="E100" i="1"/>
  <c r="G118" i="1"/>
  <c r="G152" i="1"/>
  <c r="G66" i="1"/>
  <c r="F66" i="1"/>
  <c r="F100" i="1"/>
  <c r="D495" i="1"/>
  <c r="G100" i="1"/>
  <c r="D191" i="1"/>
  <c r="D410" i="1"/>
  <c r="D273" i="1"/>
  <c r="D233" i="1"/>
  <c r="E183" i="1"/>
  <c r="D183" i="1" s="1"/>
  <c r="D448" i="1"/>
  <c r="D455" i="1"/>
  <c r="D244" i="1"/>
  <c r="F511" i="1"/>
  <c r="G84" i="1"/>
  <c r="E144" i="1"/>
  <c r="F162" i="1"/>
  <c r="F174" i="1"/>
  <c r="E174" i="1"/>
  <c r="D298" i="1"/>
  <c r="D262" i="1"/>
  <c r="D441" i="1"/>
  <c r="D470" i="1"/>
  <c r="D387" i="1"/>
  <c r="D394" i="1"/>
  <c r="D399" i="1"/>
  <c r="D459" i="1"/>
  <c r="D478" i="1"/>
  <c r="G92" i="1"/>
  <c r="G162" i="1"/>
  <c r="D290" i="1"/>
  <c r="D201" i="1"/>
  <c r="D420" i="1"/>
  <c r="D427" i="1"/>
  <c r="D494" i="1"/>
  <c r="F518" i="1"/>
  <c r="F110" i="1"/>
  <c r="F144" i="1"/>
  <c r="G144" i="1"/>
  <c r="G174" i="1"/>
  <c r="D434" i="1"/>
  <c r="D482" i="1"/>
  <c r="D223" i="1"/>
  <c r="D431" i="1"/>
  <c r="D406" i="1"/>
  <c r="D413" i="1"/>
  <c r="D378" i="1"/>
  <c r="D364" i="1"/>
  <c r="D372" i="1"/>
  <c r="D382" i="1"/>
  <c r="D354" i="1"/>
  <c r="D360" i="1"/>
  <c r="D326" i="1"/>
  <c r="D334" i="1"/>
  <c r="D342" i="1"/>
  <c r="D349" i="1"/>
  <c r="D424" i="1"/>
  <c r="F76" i="1"/>
  <c r="E84" i="1"/>
  <c r="E136" i="1"/>
  <c r="G136" i="1"/>
  <c r="E162" i="1"/>
  <c r="F183" i="1"/>
  <c r="D282" i="1"/>
  <c r="D386" i="1"/>
  <c r="D486" i="1"/>
  <c r="F504" i="1"/>
  <c r="D534" i="1"/>
  <c r="E110" i="1"/>
  <c r="G128" i="1"/>
  <c r="F136" i="1"/>
  <c r="D253" i="1"/>
  <c r="F323" i="1"/>
  <c r="F315" i="1" s="1"/>
  <c r="D527" i="1"/>
  <c r="E76" i="1"/>
  <c r="G76" i="1"/>
  <c r="F84" i="1"/>
  <c r="F92" i="1"/>
  <c r="G110" i="1"/>
  <c r="E128" i="1"/>
  <c r="F128" i="1"/>
  <c r="D346" i="1"/>
  <c r="G339" i="1"/>
  <c r="G331" i="1" s="1"/>
  <c r="G525" i="1"/>
  <c r="E525" i="1"/>
  <c r="D170" i="1"/>
  <c r="D419" i="1"/>
  <c r="E496" i="1"/>
  <c r="D496" i="1" s="1"/>
  <c r="G504" i="1"/>
  <c r="D515" i="1"/>
  <c r="D13" i="1"/>
  <c r="D318" i="1"/>
  <c r="D377" i="1"/>
  <c r="D497" i="1"/>
  <c r="D512" i="1"/>
  <c r="E518" i="1"/>
  <c r="D518" i="1" s="1"/>
  <c r="E529" i="1"/>
  <c r="F16" i="1"/>
  <c r="E331" i="1"/>
  <c r="G315" i="1"/>
  <c r="D301" i="1"/>
  <c r="D309" i="1"/>
  <c r="D293" i="1"/>
  <c r="D265" i="1"/>
  <c r="D285" i="1"/>
  <c r="D276" i="1"/>
  <c r="D247" i="1"/>
  <c r="D256" i="1"/>
  <c r="D236" i="1"/>
  <c r="D226" i="1"/>
  <c r="D214" i="1"/>
  <c r="D204" i="1"/>
  <c r="D186" i="1"/>
  <c r="D194" i="1"/>
  <c r="D171" i="1"/>
  <c r="D177" i="1"/>
  <c r="D165" i="1"/>
  <c r="D157" i="1"/>
  <c r="D147" i="1"/>
  <c r="D139" i="1"/>
  <c r="D131" i="1"/>
  <c r="D123" i="1"/>
  <c r="D113" i="1"/>
  <c r="D105" i="1"/>
  <c r="D87" i="1"/>
  <c r="D95" i="1"/>
  <c r="D71" i="1"/>
  <c r="D79" i="1"/>
  <c r="D56" i="1"/>
  <c r="D60" i="1"/>
  <c r="E16" i="1"/>
  <c r="G16" i="1"/>
  <c r="E485" i="1"/>
  <c r="F485" i="1"/>
  <c r="D49" i="1"/>
  <c r="D43" i="1"/>
  <c r="D37" i="1"/>
  <c r="D25" i="1"/>
  <c r="D17" i="1"/>
  <c r="D469" i="1"/>
  <c r="D502" i="1"/>
  <c r="E504" i="1"/>
  <c r="D530" i="1"/>
  <c r="D533" i="1"/>
  <c r="G529" i="1"/>
  <c r="D391" i="1"/>
  <c r="E477" i="1"/>
  <c r="D487" i="1"/>
  <c r="D492" i="1"/>
  <c r="G511" i="1"/>
  <c r="E511" i="1"/>
  <c r="D528" i="1"/>
  <c r="D483" i="1"/>
  <c r="D503" i="1"/>
  <c r="F477" i="1"/>
  <c r="D488" i="1"/>
  <c r="D498" i="1"/>
  <c r="F496" i="1"/>
  <c r="D506" i="1"/>
  <c r="D507" i="1"/>
  <c r="D516" i="1"/>
  <c r="D522" i="1"/>
  <c r="G477" i="1"/>
  <c r="D84" i="1" l="1"/>
  <c r="D136" i="1"/>
  <c r="D92" i="1"/>
  <c r="D118" i="1"/>
  <c r="G476" i="1"/>
  <c r="D162" i="1"/>
  <c r="D66" i="1"/>
  <c r="D174" i="1"/>
  <c r="D100" i="1"/>
  <c r="D76" i="1"/>
  <c r="D144" i="1"/>
  <c r="D504" i="1"/>
  <c r="D152" i="1"/>
  <c r="D128" i="1"/>
  <c r="D339" i="1"/>
  <c r="G323" i="1"/>
  <c r="E323" i="1"/>
  <c r="D110" i="1"/>
  <c r="F476" i="1"/>
  <c r="D525" i="1"/>
  <c r="E315" i="1"/>
  <c r="D315" i="1" s="1"/>
  <c r="D331" i="1"/>
  <c r="D485" i="1"/>
  <c r="E476" i="1"/>
  <c r="D511" i="1"/>
  <c r="D16" i="1"/>
  <c r="D477" i="1"/>
  <c r="D529" i="1"/>
  <c r="D323" i="1" l="1"/>
  <c r="D476" i="1"/>
</calcChain>
</file>

<file path=xl/sharedStrings.xml><?xml version="1.0" encoding="utf-8"?>
<sst xmlns="http://schemas.openxmlformats.org/spreadsheetml/2006/main" count="726" uniqueCount="169">
  <si>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</si>
  <si>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</si>
  <si>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</si>
  <si>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</si>
  <si>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</si>
  <si>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</si>
  <si>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</si>
  <si>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</si>
  <si>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</si>
  <si>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</si>
  <si>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</si>
  <si>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</si>
  <si>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</si>
  <si>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</si>
  <si>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</si>
  <si>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</si>
  <si>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</si>
  <si>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</si>
  <si>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</si>
  <si>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</si>
  <si>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</si>
  <si>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</si>
  <si>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</si>
  <si>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</si>
  <si>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</si>
  <si>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</si>
  <si>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</si>
  <si>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</si>
  <si>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</si>
  <si>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</si>
  <si>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</si>
  <si>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</si>
  <si>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</si>
  <si>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</si>
  <si>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</si>
  <si>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</si>
  <si>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</si>
  <si>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</si>
  <si>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</si>
  <si>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</si>
  <si>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</si>
  <si>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</si>
  <si>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</si>
  <si>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</si>
  <si>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</si>
  <si>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</si>
  <si>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</si>
  <si>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</si>
  <si>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</si>
  <si>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</si>
  <si>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</si>
  <si>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</si>
  <si>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</si>
  <si>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</si>
  <si>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</si>
  <si>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</si>
  <si>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</si>
  <si>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</si>
  <si>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</si>
  <si>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</si>
  <si>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</si>
  <si>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</si>
  <si>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</si>
  <si>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</si>
  <si>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</si>
  <si>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</si>
  <si>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</si>
  <si>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</si>
  <si>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</si>
  <si>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</si>
  <si>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</si>
  <si>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</si>
  <si>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</si>
  <si>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</si>
  <si>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</si>
  <si>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</si>
  <si>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</si>
  <si>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</si>
  <si>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</si>
  <si>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</si>
  <si>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</si>
  <si>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</si>
  <si>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</si>
  <si>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</si>
  <si>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</si>
  <si>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</si>
  <si>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</si>
  <si>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</si>
  <si>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</si>
  <si>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</si>
  <si>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</si>
  <si>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</si>
  <si>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</si>
  <si>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</si>
  <si>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</si>
  <si>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</si>
  <si>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</si>
  <si>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</si>
  <si>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</si>
  <si>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</si>
  <si>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</si>
  <si>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</si>
  <si>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</si>
  <si>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</si>
  <si>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</si>
  <si>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</si>
  <si>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</si>
  <si>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</si>
  <si>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</si>
  <si>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</si>
  <si>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</si>
  <si>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</si>
  <si>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</si>
  <si>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</si>
  <si>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</si>
  <si>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</si>
  <si>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</si>
  <si>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</si>
  <si>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</si>
  <si>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</si>
  <si>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</si>
  <si>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</si>
  <si>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</si>
  <si>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</si>
  <si>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</si>
  <si>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</si>
  <si>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</si>
  <si>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</si>
  <si>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</si>
  <si>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</si>
  <si>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</si>
  <si>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</si>
  <si>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</si>
  <si>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</si>
  <si>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</si>
  <si>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</si>
  <si>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</si>
  <si>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</si>
  <si>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</si>
  <si>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</si>
  <si>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</si>
  <si>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</si>
  <si>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</si>
  <si>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</si>
  <si>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</si>
  <si>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</si>
  <si>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</si>
  <si>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</si>
  <si>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</si>
  <si>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</si>
  <si>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</si>
  <si>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</si>
  <si>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</si>
  <si>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</si>
  <si>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</si>
  <si>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</si>
  <si>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</si>
  <si>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</si>
  <si>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</si>
  <si>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</si>
  <si>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</si>
  <si>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</si>
  <si>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</si>
  <si>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</si>
  <si>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</si>
  <si>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</si>
  <si>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</si>
  <si>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</si>
  <si>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2021 m. rugpjūčio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</si>
</sst>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5" fillId="3" borderId="0"/>
  </cellStyleXfs>
  <cellXfs count="18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" fillId="2" borderId="0" xfId="1" applyFill="1"/>
    <xf numFmtId="0" fontId="3" fillId="2" borderId="0" xfId="1" applyFont="1" applyFill="1"/>
    <xf numFmtId="0" fontId="10" fillId="2" borderId="2" xfId="1" applyFont="1" applyFill="1" applyBorder="1" applyAlignment="1">
      <alignment horizontal="right"/>
    </xf>
    <xf numFmtId="49" fontId="11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/>
    <xf numFmtId="0" fontId="12" fillId="0" borderId="0" xfId="1" applyFont="1"/>
    <xf numFmtId="0" fontId="10" fillId="2" borderId="2" xfId="1" applyFont="1" applyFill="1" applyBorder="1" applyAlignment="1">
      <alignment horizontal="left"/>
    </xf>
    <xf numFmtId="0" fontId="13" fillId="0" borderId="0" xfId="1" applyFont="1"/>
    <xf numFmtId="164" fontId="14" fillId="2" borderId="2" xfId="1" applyNumberFormat="1" applyFont="1" applyFill="1" applyBorder="1"/>
    <xf numFmtId="1" fontId="10" fillId="2" borderId="2" xfId="1" applyNumberFormat="1" applyFont="1" applyFill="1" applyBorder="1"/>
    <xf numFmtId="164" fontId="8" fillId="2" borderId="2" xfId="1" applyNumberFormat="1" applyFont="1" applyFill="1" applyBorder="1" applyAlignment="1">
      <alignment vertical="center"/>
    </xf>
    <xf numFmtId="1" fontId="16" fillId="2" borderId="2" xfId="3" applyNumberFormat="1" applyFont="1" applyFill="1" applyBorder="1" applyAlignment="1" applyProtection="1">
      <alignment vertical="center"/>
    </xf>
    <xf numFmtId="164" fontId="16" fillId="2" borderId="2" xfId="3" applyNumberFormat="1" applyFont="1" applyFill="1" applyBorder="1" applyAlignment="1" applyProtection="1">
      <alignment vertical="center"/>
    </xf>
    <xf numFmtId="164" fontId="17" fillId="2" borderId="2" xfId="3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vertical="top" wrapText="1"/>
    </xf>
    <xf numFmtId="0" fontId="18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9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164" fontId="11" fillId="2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1" fontId="11" fillId="2" borderId="2" xfId="1" applyNumberFormat="1" applyFont="1" applyFill="1" applyBorder="1"/>
    <xf numFmtId="0" fontId="3" fillId="0" borderId="0" xfId="1" applyFont="1" applyBorder="1"/>
    <xf numFmtId="0" fontId="20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49" fontId="11" fillId="2" borderId="3" xfId="1" applyNumberFormat="1" applyFont="1" applyFill="1" applyBorder="1" applyAlignment="1">
      <alignment horizontal="center" vertical="center"/>
    </xf>
    <xf numFmtId="49" fontId="11" fillId="2" borderId="5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/>
    </xf>
    <xf numFmtId="164" fontId="10" fillId="2" borderId="3" xfId="1" applyNumberFormat="1" applyFont="1" applyFill="1" applyBorder="1"/>
    <xf numFmtId="0" fontId="8" fillId="4" borderId="2" xfId="1" applyFont="1" applyFill="1" applyBorder="1" applyAlignment="1">
      <alignment vertical="center"/>
    </xf>
    <xf numFmtId="164" fontId="8" fillId="4" borderId="2" xfId="1" applyNumberFormat="1" applyFont="1" applyFill="1" applyBorder="1" applyAlignment="1">
      <alignment vertical="center"/>
    </xf>
    <xf numFmtId="49" fontId="6" fillId="2" borderId="2" xfId="1" applyNumberFormat="1" applyFont="1" applyFill="1" applyBorder="1" applyAlignment="1">
      <alignment horizontal="right"/>
    </xf>
    <xf numFmtId="164" fontId="6" fillId="2" borderId="2" xfId="1" applyNumberFormat="1" applyFont="1" applyFill="1" applyBorder="1" applyAlignment="1">
      <alignment vertical="center"/>
    </xf>
    <xf numFmtId="164" fontId="1" fillId="0" borderId="0" xfId="1" applyNumberFormat="1"/>
    <xf numFmtId="0" fontId="1" fillId="0" borderId="0" xfId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vertical="center"/>
    </xf>
    <xf numFmtId="0" fontId="10" fillId="2" borderId="7" xfId="1" applyFont="1" applyFill="1" applyBorder="1" applyAlignment="1">
      <alignment horizontal="right"/>
    </xf>
    <xf numFmtId="0" fontId="20" fillId="2" borderId="2" xfId="1" applyFont="1" applyFill="1" applyBorder="1" applyAlignment="1"/>
    <xf numFmtId="0" fontId="6" fillId="2" borderId="5" xfId="1" applyFont="1" applyFill="1" applyBorder="1" applyAlignment="1">
      <alignment horizontal="center" vertical="center"/>
    </xf>
    <xf numFmtId="0" fontId="20" fillId="2" borderId="5" xfId="1" applyFont="1" applyFill="1" applyBorder="1" applyAlignment="1"/>
    <xf numFmtId="0" fontId="10" fillId="2" borderId="5" xfId="1" applyFont="1" applyFill="1" applyBorder="1" applyAlignment="1">
      <alignment horizontal="right"/>
    </xf>
    <xf numFmtId="0" fontId="20" fillId="2" borderId="3" xfId="1" applyFont="1" applyFill="1" applyBorder="1" applyAlignment="1"/>
    <xf numFmtId="0" fontId="1" fillId="0" borderId="2" xfId="1" applyBorder="1"/>
    <xf numFmtId="164" fontId="10" fillId="0" borderId="2" xfId="1" applyNumberFormat="1" applyFont="1" applyBorder="1"/>
    <xf numFmtId="0" fontId="10" fillId="2" borderId="2" xfId="1" applyFont="1" applyFill="1" applyBorder="1" applyAlignment="1">
      <alignment horizontal="right" vertical="center"/>
    </xf>
    <xf numFmtId="1" fontId="10" fillId="0" borderId="2" xfId="1" applyNumberFormat="1" applyFont="1" applyBorder="1"/>
    <xf numFmtId="164" fontId="21" fillId="2" borderId="2" xfId="1" applyNumberFormat="1" applyFont="1" applyFill="1" applyBorder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164" fontId="10" fillId="0" borderId="2" xfId="1" applyNumberFormat="1" applyFont="1" applyBorder="1" applyAlignment="1">
      <alignment vertical="center"/>
    </xf>
    <xf numFmtId="0" fontId="10" fillId="2" borderId="0" xfId="1" applyFont="1" applyFill="1" applyBorder="1" applyAlignment="1">
      <alignment horizontal="right"/>
    </xf>
    <xf numFmtId="164" fontId="10" fillId="2" borderId="6" xfId="1" applyNumberFormat="1" applyFont="1" applyFill="1" applyBorder="1"/>
    <xf numFmtId="49" fontId="11" fillId="2" borderId="9" xfId="1" applyNumberFormat="1" applyFont="1" applyFill="1" applyBorder="1" applyAlignment="1">
      <alignment horizontal="center"/>
    </xf>
    <xf numFmtId="164" fontId="22" fillId="2" borderId="2" xfId="2" applyNumberFormat="1" applyFont="1" applyFill="1" applyBorder="1" applyAlignment="1" applyProtection="1">
      <alignment horizontal="right" vertical="center"/>
    </xf>
    <xf numFmtId="49" fontId="22" fillId="2" borderId="10" xfId="2" applyNumberFormat="1" applyFont="1" applyFill="1" applyBorder="1" applyAlignment="1" applyProtection="1">
      <alignment horizontal="center" vertical="center"/>
    </xf>
    <xf numFmtId="0" fontId="22" fillId="2" borderId="9" xfId="2" applyNumberFormat="1" applyFont="1" applyFill="1" applyBorder="1" applyAlignment="1" applyProtection="1">
      <alignment horizontal="center" vertical="center"/>
    </xf>
    <xf numFmtId="49" fontId="11" fillId="2" borderId="20" xfId="1" applyNumberFormat="1" applyFont="1" applyFill="1" applyBorder="1" applyAlignment="1">
      <alignment vertical="center"/>
    </xf>
    <xf numFmtId="49" fontId="11" fillId="2" borderId="21" xfId="1" applyNumberFormat="1" applyFont="1" applyFill="1" applyBorder="1" applyAlignment="1">
      <alignment vertical="center"/>
    </xf>
    <xf numFmtId="49" fontId="22" fillId="2" borderId="9" xfId="2" applyNumberFormat="1" applyFont="1" applyFill="1" applyBorder="1" applyAlignment="1" applyProtection="1">
      <alignment horizontal="center" vertical="center"/>
    </xf>
    <xf numFmtId="0" fontId="22" fillId="2" borderId="9" xfId="2" applyNumberFormat="1" applyFont="1" applyFill="1" applyBorder="1" applyAlignment="1" applyProtection="1">
      <alignment horizontal="center" vertical="center" wrapText="1"/>
    </xf>
    <xf numFmtId="164" fontId="22" fillId="2" borderId="2" xfId="1" applyNumberFormat="1" applyFont="1" applyFill="1" applyBorder="1"/>
    <xf numFmtId="164" fontId="22" fillId="2" borderId="2" xfId="1" applyNumberFormat="1" applyFont="1" applyFill="1" applyBorder="1" applyAlignment="1">
      <alignment vertical="center"/>
    </xf>
    <xf numFmtId="0" fontId="8" fillId="5" borderId="10" xfId="2" applyNumberFormat="1" applyFont="1" applyFill="1" applyBorder="1" applyAlignment="1" applyProtection="1">
      <alignment horizontal="left" vertical="center"/>
    </xf>
    <xf numFmtId="49" fontId="9" fillId="5" borderId="2" xfId="2" applyNumberFormat="1" applyFont="1" applyFill="1" applyBorder="1" applyAlignment="1" applyProtection="1">
      <alignment horizontal="left" vertical="center"/>
    </xf>
    <xf numFmtId="164" fontId="8" fillId="5" borderId="2" xfId="2" applyNumberFormat="1" applyFont="1" applyFill="1" applyBorder="1" applyAlignment="1" applyProtection="1">
      <alignment horizontal="right" vertical="center"/>
    </xf>
    <xf numFmtId="0" fontId="8" fillId="5" borderId="19" xfId="1" applyFont="1" applyFill="1" applyBorder="1" applyAlignment="1">
      <alignment horizontal="left" vertical="center"/>
    </xf>
    <xf numFmtId="49" fontId="8" fillId="5" borderId="5" xfId="1" applyNumberFormat="1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right" vertical="center"/>
    </xf>
    <xf numFmtId="0" fontId="10" fillId="2" borderId="20" xfId="1" applyFont="1" applyFill="1" applyBorder="1" applyAlignment="1">
      <alignment horizontal="right"/>
    </xf>
    <xf numFmtId="0" fontId="10" fillId="2" borderId="21" xfId="1" applyFont="1" applyFill="1" applyBorder="1" applyAlignment="1">
      <alignment horizontal="right"/>
    </xf>
    <xf numFmtId="0" fontId="10" fillId="2" borderId="22" xfId="1" applyFont="1" applyFill="1" applyBorder="1" applyAlignment="1">
      <alignment horizontal="right"/>
    </xf>
    <xf numFmtId="0" fontId="10" fillId="2" borderId="21" xfId="1" applyFont="1" applyFill="1" applyBorder="1" applyAlignment="1">
      <alignment horizontal="left"/>
    </xf>
    <xf numFmtId="0" fontId="22" fillId="2" borderId="20" xfId="2" applyNumberFormat="1" applyFont="1" applyFill="1" applyBorder="1" applyAlignment="1" applyProtection="1">
      <alignment horizontal="center" vertical="center" wrapText="1"/>
    </xf>
    <xf numFmtId="0" fontId="8" fillId="5" borderId="2" xfId="1" applyFont="1" applyFill="1" applyBorder="1" applyAlignment="1">
      <alignment vertical="center"/>
    </xf>
    <xf numFmtId="49" fontId="8" fillId="5" borderId="2" xfId="1" applyNumberFormat="1" applyFont="1" applyFill="1" applyBorder="1" applyAlignment="1">
      <alignment horizontal="right"/>
    </xf>
    <xf numFmtId="164" fontId="8" fillId="5" borderId="2" xfId="1" applyNumberFormat="1" applyFont="1" applyFill="1" applyBorder="1" applyAlignment="1">
      <alignment vertical="center"/>
    </xf>
    <xf numFmtId="49" fontId="8" fillId="5" borderId="2" xfId="1" applyNumberFormat="1" applyFont="1" applyFill="1" applyBorder="1" applyAlignment="1">
      <alignment horizontal="center"/>
    </xf>
    <xf numFmtId="0" fontId="22" fillId="2" borderId="22" xfId="2" applyNumberFormat="1" applyFont="1" applyFill="1" applyBorder="1" applyAlignment="1" applyProtection="1">
      <alignment horizontal="center" vertical="center" wrapText="1"/>
    </xf>
    <xf numFmtId="49" fontId="22" fillId="2" borderId="17" xfId="2" applyNumberFormat="1" applyFont="1" applyFill="1" applyBorder="1" applyAlignment="1" applyProtection="1">
      <alignment horizontal="center" vertical="center"/>
    </xf>
    <xf numFmtId="0" fontId="8" fillId="5" borderId="5" xfId="1" applyFont="1" applyFill="1" applyBorder="1" applyAlignment="1">
      <alignment vertical="center"/>
    </xf>
    <xf numFmtId="49" fontId="8" fillId="5" borderId="2" xfId="1" applyNumberFormat="1" applyFont="1" applyFill="1" applyBorder="1" applyAlignment="1">
      <alignment horizontal="center" vertical="center"/>
    </xf>
    <xf numFmtId="0" fontId="22" fillId="2" borderId="20" xfId="2" applyNumberFormat="1" applyFont="1" applyFill="1" applyBorder="1" applyAlignment="1" applyProtection="1">
      <alignment horizontal="center" vertical="center"/>
    </xf>
    <xf numFmtId="0" fontId="10" fillId="2" borderId="20" xfId="1" applyFont="1" applyFill="1" applyBorder="1" applyAlignment="1">
      <alignment horizontal="left"/>
    </xf>
    <xf numFmtId="49" fontId="8" fillId="5" borderId="2" xfId="1" applyNumberFormat="1" applyFont="1" applyFill="1" applyBorder="1" applyAlignment="1">
      <alignment horizontal="right" vertical="center"/>
    </xf>
    <xf numFmtId="0" fontId="10" fillId="2" borderId="9" xfId="1" applyFont="1" applyFill="1" applyBorder="1" applyAlignment="1">
      <alignment horizontal="right"/>
    </xf>
    <xf numFmtId="0" fontId="22" fillId="2" borderId="21" xfId="2" applyNumberFormat="1" applyFont="1" applyFill="1" applyBorder="1" applyAlignment="1" applyProtection="1">
      <alignment horizontal="center" vertical="center" wrapText="1"/>
    </xf>
    <xf numFmtId="0" fontId="8" fillId="2" borderId="7" xfId="1" applyFont="1" applyFill="1" applyBorder="1" applyAlignment="1">
      <alignment horizontal="center" vertical="top" wrapText="1"/>
    </xf>
    <xf numFmtId="0" fontId="8" fillId="2" borderId="14" xfId="1" applyFont="1" applyFill="1" applyBorder="1" applyAlignment="1">
      <alignment horizontal="center" vertical="top" wrapText="1"/>
    </xf>
    <xf numFmtId="49" fontId="11" fillId="2" borderId="9" xfId="1" applyNumberFormat="1" applyFont="1" applyFill="1" applyBorder="1" applyAlignment="1">
      <alignment horizontal="center" vertical="center"/>
    </xf>
    <xf numFmtId="164" fontId="10" fillId="6" borderId="2" xfId="1" applyNumberFormat="1" applyFont="1" applyFill="1" applyBorder="1"/>
    <xf numFmtId="1" fontId="8" fillId="6" borderId="2" xfId="1" applyNumberFormat="1" applyFont="1" applyFill="1" applyBorder="1" applyAlignment="1">
      <alignment vertical="center"/>
    </xf>
    <xf numFmtId="49" fontId="22" fillId="2" borderId="15" xfId="2" applyNumberFormat="1" applyFont="1" applyFill="1" applyBorder="1" applyAlignment="1" applyProtection="1">
      <alignment horizontal="center" vertical="center"/>
    </xf>
    <xf numFmtId="49" fontId="11" fillId="2" borderId="15" xfId="1" applyNumberFormat="1" applyFont="1" applyFill="1" applyBorder="1" applyAlignment="1">
      <alignment horizontal="center" vertical="center"/>
    </xf>
    <xf numFmtId="164" fontId="10" fillId="6" borderId="6" xfId="1" applyNumberFormat="1" applyFont="1" applyFill="1" applyBorder="1"/>
    <xf numFmtId="164" fontId="22" fillId="6" borderId="6" xfId="1" applyNumberFormat="1" applyFont="1" applyFill="1" applyBorder="1"/>
    <xf numFmtId="164" fontId="22" fillId="6" borderId="2" xfId="1" applyNumberFormat="1" applyFont="1" applyFill="1" applyBorder="1"/>
    <xf numFmtId="164" fontId="22" fillId="6" borderId="2" xfId="1" applyNumberFormat="1" applyFont="1" applyFill="1" applyBorder="1" applyAlignment="1">
      <alignment vertical="center"/>
    </xf>
    <xf numFmtId="164" fontId="22" fillId="6" borderId="2" xfId="2" applyNumberFormat="1" applyFont="1" applyFill="1" applyBorder="1" applyAlignment="1" applyProtection="1">
      <alignment horizontal="right" vertical="center"/>
    </xf>
    <xf numFmtId="1" fontId="10" fillId="6" borderId="2" xfId="1" applyNumberFormat="1" applyFont="1" applyFill="1" applyBorder="1"/>
    <xf numFmtId="164" fontId="16" fillId="6" borderId="2" xfId="3" applyNumberFormat="1" applyFont="1" applyFill="1" applyBorder="1" applyAlignment="1" applyProtection="1">
      <alignment vertical="center"/>
    </xf>
    <xf numFmtId="1" fontId="16" fillId="6" borderId="2" xfId="3" applyNumberFormat="1" applyFont="1" applyFill="1" applyBorder="1" applyAlignment="1" applyProtection="1">
      <alignment vertical="center"/>
    </xf>
    <xf numFmtId="164" fontId="8" fillId="6" borderId="2" xfId="1" applyNumberFormat="1" applyFont="1" applyFill="1" applyBorder="1" applyAlignment="1">
      <alignment vertical="center"/>
    </xf>
    <xf numFmtId="164" fontId="17" fillId="6" borderId="2" xfId="3" applyNumberFormat="1" applyFont="1" applyFill="1" applyBorder="1" applyAlignment="1" applyProtection="1">
      <alignment vertical="center"/>
    </xf>
    <xf numFmtId="0" fontId="22" fillId="6" borderId="9" xfId="2" applyNumberFormat="1" applyFont="1" applyFill="1" applyBorder="1" applyAlignment="1" applyProtection="1">
      <alignment horizontal="center" vertical="center"/>
    </xf>
    <xf numFmtId="49" fontId="11" fillId="6" borderId="10" xfId="1" applyNumberFormat="1" applyFont="1" applyFill="1" applyBorder="1" applyAlignment="1">
      <alignment horizontal="center"/>
    </xf>
    <xf numFmtId="0" fontId="10" fillId="6" borderId="2" xfId="1" applyFont="1" applyFill="1" applyBorder="1" applyAlignment="1">
      <alignment horizontal="right"/>
    </xf>
    <xf numFmtId="0" fontId="10" fillId="6" borderId="20" xfId="1" applyFont="1" applyFill="1" applyBorder="1" applyAlignment="1">
      <alignment horizontal="right"/>
    </xf>
    <xf numFmtId="0" fontId="10" fillId="6" borderId="22" xfId="1" applyFont="1" applyFill="1" applyBorder="1" applyAlignment="1">
      <alignment horizontal="right"/>
    </xf>
    <xf numFmtId="0" fontId="22" fillId="6" borderId="22" xfId="2" applyNumberFormat="1" applyFont="1" applyFill="1" applyBorder="1" applyAlignment="1" applyProtection="1">
      <alignment horizontal="center" vertical="center" wrapText="1"/>
    </xf>
    <xf numFmtId="49" fontId="22" fillId="6" borderId="10" xfId="2" applyNumberFormat="1" applyFont="1" applyFill="1" applyBorder="1" applyAlignment="1" applyProtection="1">
      <alignment horizontal="center" vertical="center"/>
    </xf>
    <xf numFmtId="49" fontId="11" fillId="6" borderId="2" xfId="1" applyNumberFormat="1" applyFont="1" applyFill="1" applyBorder="1" applyAlignment="1">
      <alignment horizontal="center"/>
    </xf>
    <xf numFmtId="49" fontId="11" fillId="6" borderId="2" xfId="1" applyNumberFormat="1" applyFont="1" applyFill="1" applyBorder="1" applyAlignment="1">
      <alignment horizontal="center" vertical="center"/>
    </xf>
    <xf numFmtId="0" fontId="22" fillId="6" borderId="20" xfId="2" applyNumberFormat="1" applyFont="1" applyFill="1" applyBorder="1" applyAlignment="1" applyProtection="1">
      <alignment horizontal="center" vertical="center" wrapText="1"/>
    </xf>
    <xf numFmtId="164" fontId="11" fillId="6" borderId="2" xfId="1" applyNumberFormat="1" applyFont="1" applyFill="1" applyBorder="1"/>
    <xf numFmtId="1" fontId="11" fillId="6" borderId="2" xfId="1" applyNumberFormat="1" applyFont="1" applyFill="1" applyBorder="1"/>
    <xf numFmtId="0" fontId="10" fillId="6" borderId="21" xfId="1" applyFont="1" applyFill="1" applyBorder="1" applyAlignment="1">
      <alignment horizontal="right"/>
    </xf>
    <xf numFmtId="0" fontId="10" fillId="6" borderId="2" xfId="1" applyFont="1" applyFill="1" applyBorder="1" applyAlignment="1">
      <alignment horizontal="left"/>
    </xf>
    <xf numFmtId="49" fontId="22" fillId="6" borderId="9" xfId="2" applyNumberFormat="1" applyFont="1" applyFill="1" applyBorder="1" applyAlignment="1" applyProtection="1">
      <alignment horizontal="center" vertical="center"/>
    </xf>
    <xf numFmtId="0" fontId="22" fillId="6" borderId="9" xfId="2" applyNumberFormat="1" applyFont="1" applyFill="1" applyBorder="1" applyAlignment="1" applyProtection="1">
      <alignment horizontal="center" vertical="center" wrapText="1"/>
    </xf>
    <xf numFmtId="49" fontId="22" fillId="6" borderId="25" xfId="2" applyNumberFormat="1" applyFont="1" applyFill="1" applyBorder="1" applyAlignment="1" applyProtection="1">
      <alignment horizontal="center" vertical="center"/>
    </xf>
    <xf numFmtId="0" fontId="10" fillId="6" borderId="9" xfId="1" applyFont="1" applyFill="1" applyBorder="1" applyAlignment="1">
      <alignment horizontal="right"/>
    </xf>
    <xf numFmtId="49" fontId="11" fillId="6" borderId="9" xfId="1" applyNumberFormat="1" applyFont="1" applyFill="1" applyBorder="1" applyAlignment="1">
      <alignment horizontal="center" vertical="center"/>
    </xf>
    <xf numFmtId="49" fontId="8" fillId="7" borderId="2" xfId="1" applyNumberFormat="1" applyFont="1" applyFill="1" applyBorder="1" applyAlignment="1">
      <alignment horizontal="right"/>
    </xf>
    <xf numFmtId="164" fontId="8" fillId="7" borderId="2" xfId="1" applyNumberFormat="1" applyFont="1" applyFill="1" applyBorder="1" applyAlignment="1">
      <alignment vertical="center"/>
    </xf>
    <xf numFmtId="0" fontId="8" fillId="8" borderId="5" xfId="1" applyFont="1" applyFill="1" applyBorder="1" applyAlignment="1">
      <alignment vertical="center"/>
    </xf>
    <xf numFmtId="49" fontId="8" fillId="8" borderId="2" xfId="1" applyNumberFormat="1" applyFont="1" applyFill="1" applyBorder="1" applyAlignment="1">
      <alignment horizontal="center" vertical="center"/>
    </xf>
    <xf numFmtId="164" fontId="8" fillId="8" borderId="2" xfId="1" applyNumberFormat="1" applyFont="1" applyFill="1" applyBorder="1" applyAlignment="1">
      <alignment vertical="center"/>
    </xf>
    <xf numFmtId="164" fontId="8" fillId="9" borderId="2" xfId="1" applyNumberFormat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/>
    </xf>
    <xf numFmtId="49" fontId="6" fillId="2" borderId="4" xfId="1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49" fontId="11" fillId="2" borderId="10" xfId="1" applyNumberFormat="1" applyFont="1" applyFill="1" applyBorder="1" applyAlignment="1">
      <alignment horizontal="center" vertical="center"/>
    </xf>
    <xf numFmtId="49" fontId="11" fillId="2" borderId="15" xfId="1" applyNumberFormat="1" applyFont="1" applyFill="1" applyBorder="1" applyAlignment="1">
      <alignment horizontal="center" vertical="center"/>
    </xf>
    <xf numFmtId="49" fontId="11" fillId="2" borderId="2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top" wrapText="1"/>
    </xf>
    <xf numFmtId="0" fontId="8" fillId="2" borderId="14" xfId="1" applyFont="1" applyFill="1" applyBorder="1" applyAlignment="1">
      <alignment horizontal="center" vertical="top" wrapText="1"/>
    </xf>
    <xf numFmtId="0" fontId="8" fillId="2" borderId="18" xfId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49" fontId="11" fillId="2" borderId="24" xfId="1" applyNumberFormat="1" applyFont="1" applyFill="1" applyBorder="1" applyAlignment="1">
      <alignment horizontal="center" vertical="center"/>
    </xf>
    <xf numFmtId="49" fontId="11" fillId="6" borderId="10" xfId="1" applyNumberFormat="1" applyFont="1" applyFill="1" applyBorder="1" applyAlignment="1">
      <alignment horizontal="center" vertical="center"/>
    </xf>
    <xf numFmtId="49" fontId="11" fillId="6" borderId="15" xfId="1" applyNumberFormat="1" applyFont="1" applyFill="1" applyBorder="1" applyAlignment="1">
      <alignment horizontal="center" vertical="center"/>
    </xf>
    <xf numFmtId="49" fontId="11" fillId="6" borderId="23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8" fillId="2" borderId="11" xfId="2" applyNumberFormat="1" applyFont="1" applyFill="1" applyBorder="1" applyAlignment="1" applyProtection="1">
      <alignment horizontal="center" vertical="top" wrapText="1"/>
    </xf>
    <xf numFmtId="0" fontId="8" fillId="2" borderId="12" xfId="2" applyNumberFormat="1" applyFont="1" applyFill="1" applyBorder="1" applyAlignment="1" applyProtection="1">
      <alignment horizontal="center" vertical="top" wrapText="1"/>
    </xf>
    <xf numFmtId="0" fontId="8" fillId="2" borderId="13" xfId="2" applyNumberFormat="1" applyFont="1" applyFill="1" applyBorder="1" applyAlignment="1" applyProtection="1">
      <alignment horizontal="center" vertical="top" wrapText="1"/>
    </xf>
    <xf numFmtId="49" fontId="11" fillId="2" borderId="9" xfId="1" applyNumberFormat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center" vertical="center"/>
    </xf>
    <xf numFmtId="49" fontId="11" fillId="2" borderId="21" xfId="1" applyNumberFormat="1" applyFont="1" applyFill="1" applyBorder="1" applyAlignment="1">
      <alignment horizontal="center" vertical="center"/>
    </xf>
    <xf numFmtId="49" fontId="11" fillId="2" borderId="22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6"/>
  <sheetViews>
    <sheetView tabSelected="1" zoomScaleNormal="100" workbookViewId="0">
      <selection activeCell="K474" sqref="K47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8" width="8.7109375" style="2"/>
    <col min="9" max="9" width="9.140625" style="3" customWidth="1"/>
    <col min="10" max="16384" width="8.7109375" style="2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168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4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78" t="s">
        <v>3</v>
      </c>
      <c r="B7" s="178"/>
      <c r="C7" s="178"/>
      <c r="D7" s="178"/>
      <c r="E7" s="178"/>
      <c r="F7" s="178"/>
      <c r="G7" s="178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79" t="s">
        <v>4</v>
      </c>
      <c r="G9" s="179"/>
    </row>
    <row r="10" spans="1:9" ht="12.75" customHeight="1" x14ac:dyDescent="0.25">
      <c r="A10" s="180" t="s">
        <v>5</v>
      </c>
      <c r="B10" s="182" t="s">
        <v>6</v>
      </c>
      <c r="C10" s="180" t="s">
        <v>7</v>
      </c>
      <c r="D10" s="182" t="s">
        <v>8</v>
      </c>
      <c r="E10" s="182" t="s">
        <v>9</v>
      </c>
      <c r="F10" s="182"/>
      <c r="G10" s="182"/>
    </row>
    <row r="11" spans="1:9" x14ac:dyDescent="0.25">
      <c r="A11" s="180"/>
      <c r="B11" s="182"/>
      <c r="C11" s="180"/>
      <c r="D11" s="182"/>
      <c r="E11" s="182" t="s">
        <v>10</v>
      </c>
      <c r="F11" s="182"/>
      <c r="G11" s="182" t="s">
        <v>11</v>
      </c>
    </row>
    <row r="12" spans="1:9" ht="25.5" x14ac:dyDescent="0.25">
      <c r="A12" s="181"/>
      <c r="B12" s="182"/>
      <c r="C12" s="180"/>
      <c r="D12" s="182"/>
      <c r="E12" s="5" t="s">
        <v>12</v>
      </c>
      <c r="F12" s="6" t="s">
        <v>13</v>
      </c>
      <c r="G12" s="182"/>
    </row>
    <row r="13" spans="1:9" s="7" customFormat="1" ht="18" customHeight="1" x14ac:dyDescent="0.25">
      <c r="A13" s="171" t="s">
        <v>14</v>
      </c>
      <c r="B13" s="76" t="s">
        <v>15</v>
      </c>
      <c r="C13" s="77"/>
      <c r="D13" s="78">
        <f t="shared" ref="D13:D103" si="0">SUM(G13+E13)</f>
        <v>104.6</v>
      </c>
      <c r="E13" s="78">
        <f>SUM(E15:E15)</f>
        <v>104.6</v>
      </c>
      <c r="F13" s="78">
        <f>SUM(F15:F15)</f>
        <v>98.5</v>
      </c>
      <c r="G13" s="78">
        <f>SUM(G15:G15)</f>
        <v>0</v>
      </c>
      <c r="I13" s="8"/>
    </row>
    <row r="14" spans="1:9" s="7" customFormat="1" ht="15" customHeight="1" x14ac:dyDescent="0.25">
      <c r="A14" s="172"/>
      <c r="B14" s="69" t="s">
        <v>155</v>
      </c>
      <c r="C14" s="68" t="s">
        <v>17</v>
      </c>
      <c r="D14" s="67">
        <f>SUM(D15)</f>
        <v>104.6</v>
      </c>
      <c r="E14" s="67">
        <f>SUM(E15)</f>
        <v>104.6</v>
      </c>
      <c r="F14" s="67">
        <f>SUM(F15)</f>
        <v>98.5</v>
      </c>
      <c r="G14" s="67">
        <f>SUM(G15)</f>
        <v>0</v>
      </c>
      <c r="I14" s="8"/>
    </row>
    <row r="15" spans="1:9" s="7" customFormat="1" ht="12.75" customHeight="1" x14ac:dyDescent="0.25">
      <c r="A15" s="173"/>
      <c r="B15" s="64" t="s">
        <v>16</v>
      </c>
      <c r="C15" s="66"/>
      <c r="D15" s="65">
        <f t="shared" si="0"/>
        <v>104.6</v>
      </c>
      <c r="E15" s="11">
        <v>104.6</v>
      </c>
      <c r="F15" s="11">
        <v>98.5</v>
      </c>
      <c r="G15" s="11"/>
      <c r="I15" s="8"/>
    </row>
    <row r="16" spans="1:9" ht="18" customHeight="1" x14ac:dyDescent="0.25">
      <c r="A16" s="163" t="s">
        <v>18</v>
      </c>
      <c r="B16" s="79" t="s">
        <v>19</v>
      </c>
      <c r="C16" s="80"/>
      <c r="D16" s="81">
        <f t="shared" si="0"/>
        <v>21769.5</v>
      </c>
      <c r="E16" s="81">
        <f>SUM(E60+E56+E49+E43+E37+E32+E25+E17)</f>
        <v>14381.3</v>
      </c>
      <c r="F16" s="81">
        <f>SUM(F60+F56+F49+F43+F37+F32+F25+F17)</f>
        <v>4948.2999999999993</v>
      </c>
      <c r="G16" s="81">
        <f>SUM(G60+G56+G49+G43+G37+G32+G25+G17)</f>
        <v>7388.2</v>
      </c>
    </row>
    <row r="17" spans="1:9" ht="15" customHeight="1" x14ac:dyDescent="0.25">
      <c r="A17" s="161"/>
      <c r="B17" s="69" t="s">
        <v>155</v>
      </c>
      <c r="C17" s="68" t="s">
        <v>17</v>
      </c>
      <c r="D17" s="67">
        <f t="shared" ref="D17:F17" si="1">SUM(D18:D24)</f>
        <v>7507.3</v>
      </c>
      <c r="E17" s="67">
        <f t="shared" si="1"/>
        <v>6094</v>
      </c>
      <c r="F17" s="67">
        <f t="shared" si="1"/>
        <v>4369.7</v>
      </c>
      <c r="G17" s="67">
        <f>SUM(G18:G24)</f>
        <v>1413.3000000000002</v>
      </c>
    </row>
    <row r="18" spans="1:9" ht="12.75" customHeight="1" x14ac:dyDescent="0.25">
      <c r="A18" s="160"/>
      <c r="B18" s="82" t="s">
        <v>20</v>
      </c>
      <c r="C18" s="70"/>
      <c r="D18" s="65">
        <f t="shared" si="0"/>
        <v>73.400000000000006</v>
      </c>
      <c r="E18" s="11">
        <v>46.3</v>
      </c>
      <c r="F18" s="11"/>
      <c r="G18" s="11">
        <v>27.1</v>
      </c>
      <c r="H18" s="12"/>
    </row>
    <row r="19" spans="1:9" ht="12.75" customHeight="1" x14ac:dyDescent="0.25">
      <c r="A19" s="160"/>
      <c r="B19" s="83" t="s">
        <v>21</v>
      </c>
      <c r="C19" s="71"/>
      <c r="D19" s="65">
        <f t="shared" si="0"/>
        <v>1617.3</v>
      </c>
      <c r="E19" s="103">
        <f>1617.3</f>
        <v>1617.3</v>
      </c>
      <c r="F19" s="103">
        <f>842.4-0.6</f>
        <v>841.8</v>
      </c>
      <c r="G19" s="11"/>
      <c r="H19" s="12"/>
    </row>
    <row r="20" spans="1:9" ht="12.75" customHeight="1" x14ac:dyDescent="0.25">
      <c r="A20" s="160"/>
      <c r="B20" s="83" t="s">
        <v>22</v>
      </c>
      <c r="C20" s="71"/>
      <c r="D20" s="65">
        <f t="shared" si="0"/>
        <v>42.7</v>
      </c>
      <c r="E20" s="103">
        <v>42.7</v>
      </c>
      <c r="F20" s="103"/>
      <c r="G20" s="11"/>
      <c r="H20" s="12"/>
    </row>
    <row r="21" spans="1:9" ht="12.75" customHeight="1" x14ac:dyDescent="0.25">
      <c r="A21" s="160"/>
      <c r="B21" s="83" t="s">
        <v>159</v>
      </c>
      <c r="C21" s="71"/>
      <c r="D21" s="65">
        <f t="shared" si="0"/>
        <v>923.9</v>
      </c>
      <c r="E21" s="103"/>
      <c r="F21" s="103"/>
      <c r="G21" s="11">
        <v>923.9</v>
      </c>
      <c r="H21" s="12"/>
    </row>
    <row r="22" spans="1:9" ht="12.75" customHeight="1" x14ac:dyDescent="0.25">
      <c r="A22" s="160"/>
      <c r="B22" s="83" t="s">
        <v>23</v>
      </c>
      <c r="C22" s="71"/>
      <c r="D22" s="65">
        <f t="shared" si="0"/>
        <v>112.2</v>
      </c>
      <c r="E22" s="103"/>
      <c r="F22" s="103"/>
      <c r="G22" s="11">
        <v>112.2</v>
      </c>
      <c r="H22" s="12"/>
    </row>
    <row r="23" spans="1:9" ht="12.95" customHeight="1" x14ac:dyDescent="0.25">
      <c r="A23" s="160"/>
      <c r="B23" s="83" t="s">
        <v>16</v>
      </c>
      <c r="C23" s="71"/>
      <c r="D23" s="65">
        <f t="shared" si="0"/>
        <v>4705.3</v>
      </c>
      <c r="E23" s="103">
        <f>4056.9+292.5+5.8</f>
        <v>4355.2</v>
      </c>
      <c r="F23" s="103">
        <f>3235.4+292.5</f>
        <v>3527.9</v>
      </c>
      <c r="G23" s="11">
        <v>350.1</v>
      </c>
      <c r="I23" s="14"/>
    </row>
    <row r="24" spans="1:9" ht="12.95" customHeight="1" x14ac:dyDescent="0.25">
      <c r="A24" s="160"/>
      <c r="B24" s="84" t="s">
        <v>24</v>
      </c>
      <c r="C24" s="71"/>
      <c r="D24" s="65">
        <f t="shared" si="0"/>
        <v>32.5</v>
      </c>
      <c r="E24" s="103">
        <v>32.5</v>
      </c>
      <c r="F24" s="103"/>
      <c r="G24" s="11"/>
      <c r="I24" s="14"/>
    </row>
    <row r="25" spans="1:9" ht="30.75" customHeight="1" x14ac:dyDescent="0.25">
      <c r="A25" s="159"/>
      <c r="B25" s="73" t="s">
        <v>146</v>
      </c>
      <c r="C25" s="72" t="s">
        <v>25</v>
      </c>
      <c r="D25" s="75">
        <f t="shared" ref="D25:F25" si="2">SUM(D26:D31)</f>
        <v>617.20000000000005</v>
      </c>
      <c r="E25" s="75">
        <f t="shared" si="2"/>
        <v>555.5</v>
      </c>
      <c r="F25" s="75">
        <f t="shared" si="2"/>
        <v>8.5</v>
      </c>
      <c r="G25" s="75">
        <f>SUM(G26:G31)</f>
        <v>61.699999999999996</v>
      </c>
      <c r="I25" s="14"/>
    </row>
    <row r="26" spans="1:9" ht="12.95" customHeight="1" x14ac:dyDescent="0.25">
      <c r="A26" s="160"/>
      <c r="B26" s="82" t="s">
        <v>20</v>
      </c>
      <c r="C26" s="174"/>
      <c r="D26" s="65">
        <f t="shared" si="0"/>
        <v>44.4</v>
      </c>
      <c r="E26" s="11">
        <v>7.4</v>
      </c>
      <c r="F26" s="15">
        <v>4.0999999999999996</v>
      </c>
      <c r="G26" s="11">
        <v>37</v>
      </c>
      <c r="H26" s="12"/>
    </row>
    <row r="27" spans="1:9" ht="12.95" customHeight="1" x14ac:dyDescent="0.25">
      <c r="A27" s="160"/>
      <c r="B27" s="83" t="s">
        <v>26</v>
      </c>
      <c r="C27" s="174"/>
      <c r="D27" s="65">
        <f t="shared" si="0"/>
        <v>4.7</v>
      </c>
      <c r="E27" s="11">
        <v>4.7</v>
      </c>
      <c r="F27" s="11"/>
      <c r="G27" s="11"/>
      <c r="H27" s="12"/>
    </row>
    <row r="28" spans="1:9" ht="12.95" customHeight="1" x14ac:dyDescent="0.25">
      <c r="A28" s="160"/>
      <c r="B28" s="83" t="s">
        <v>27</v>
      </c>
      <c r="C28" s="174"/>
      <c r="D28" s="107">
        <f t="shared" si="0"/>
        <v>146.29999999999998</v>
      </c>
      <c r="E28" s="103">
        <f>153.2-6.9</f>
        <v>146.29999999999998</v>
      </c>
      <c r="F28" s="103">
        <v>4.4000000000000004</v>
      </c>
      <c r="G28" s="103"/>
      <c r="H28" s="12"/>
    </row>
    <row r="29" spans="1:9" ht="12.95" customHeight="1" x14ac:dyDescent="0.25">
      <c r="A29" s="160"/>
      <c r="B29" s="83" t="s">
        <v>28</v>
      </c>
      <c r="C29" s="174"/>
      <c r="D29" s="107">
        <f t="shared" si="0"/>
        <v>156.69999999999999</v>
      </c>
      <c r="E29" s="103">
        <v>156.69999999999999</v>
      </c>
      <c r="F29" s="103"/>
      <c r="G29" s="103"/>
    </row>
    <row r="30" spans="1:9" ht="12.95" customHeight="1" x14ac:dyDescent="0.25">
      <c r="A30" s="160"/>
      <c r="B30" s="83" t="s">
        <v>29</v>
      </c>
      <c r="C30" s="174"/>
      <c r="D30" s="107">
        <f t="shared" si="0"/>
        <v>3.3</v>
      </c>
      <c r="E30" s="103"/>
      <c r="F30" s="103"/>
      <c r="G30" s="103">
        <v>3.3</v>
      </c>
    </row>
    <row r="31" spans="1:9" ht="12.95" customHeight="1" x14ac:dyDescent="0.25">
      <c r="A31" s="160"/>
      <c r="B31" s="84" t="s">
        <v>16</v>
      </c>
      <c r="C31" s="174"/>
      <c r="D31" s="107">
        <f t="shared" si="0"/>
        <v>261.8</v>
      </c>
      <c r="E31" s="103">
        <f>40.4+200</f>
        <v>240.4</v>
      </c>
      <c r="F31" s="103"/>
      <c r="G31" s="103">
        <v>21.4</v>
      </c>
    </row>
    <row r="32" spans="1:9" ht="15" customHeight="1" x14ac:dyDescent="0.25">
      <c r="A32" s="159"/>
      <c r="B32" s="69" t="s">
        <v>148</v>
      </c>
      <c r="C32" s="72" t="s">
        <v>30</v>
      </c>
      <c r="D32" s="108">
        <f>SUM(D33:D36)</f>
        <v>1562.9</v>
      </c>
      <c r="E32" s="109">
        <f t="shared" ref="E32:F32" si="3">SUM(E33:E35)</f>
        <v>471.59999999999997</v>
      </c>
      <c r="F32" s="109">
        <f t="shared" si="3"/>
        <v>112.69999999999999</v>
      </c>
      <c r="G32" s="109">
        <f>SUM(G33:G36)</f>
        <v>1091.3</v>
      </c>
    </row>
    <row r="33" spans="1:8" ht="12.95" customHeight="1" x14ac:dyDescent="0.25">
      <c r="A33" s="160"/>
      <c r="B33" s="82" t="s">
        <v>20</v>
      </c>
      <c r="C33" s="157"/>
      <c r="D33" s="103">
        <f t="shared" si="0"/>
        <v>187.4</v>
      </c>
      <c r="E33" s="103">
        <f>5.8+19.6</f>
        <v>25.400000000000002</v>
      </c>
      <c r="F33" s="103">
        <f>5.8+5.6</f>
        <v>11.399999999999999</v>
      </c>
      <c r="G33" s="103">
        <f>47+5+110</f>
        <v>162</v>
      </c>
      <c r="H33" s="12"/>
    </row>
    <row r="34" spans="1:8" ht="12.95" customHeight="1" x14ac:dyDescent="0.25">
      <c r="A34" s="160"/>
      <c r="B34" s="83" t="s">
        <v>23</v>
      </c>
      <c r="C34" s="157"/>
      <c r="D34" s="103">
        <f t="shared" si="0"/>
        <v>348</v>
      </c>
      <c r="E34" s="103"/>
      <c r="F34" s="103"/>
      <c r="G34" s="103">
        <v>348</v>
      </c>
      <c r="H34" s="12"/>
    </row>
    <row r="35" spans="1:8" ht="12.95" customHeight="1" x14ac:dyDescent="0.25">
      <c r="A35" s="160"/>
      <c r="B35" s="83" t="s">
        <v>16</v>
      </c>
      <c r="C35" s="157"/>
      <c r="D35" s="103">
        <f t="shared" si="0"/>
        <v>1017.5</v>
      </c>
      <c r="E35" s="103">
        <f>470.7+1.7+3.3-21-8.5</f>
        <v>446.2</v>
      </c>
      <c r="F35" s="103">
        <f>99.6+1.7</f>
        <v>101.3</v>
      </c>
      <c r="G35" s="103">
        <f>571.3</f>
        <v>571.29999999999995</v>
      </c>
      <c r="H35" s="12"/>
    </row>
    <row r="36" spans="1:8" ht="12.95" customHeight="1" x14ac:dyDescent="0.25">
      <c r="A36" s="160"/>
      <c r="B36" s="84" t="s">
        <v>29</v>
      </c>
      <c r="C36" s="106"/>
      <c r="D36" s="103">
        <f t="shared" si="0"/>
        <v>10</v>
      </c>
      <c r="E36" s="103"/>
      <c r="F36" s="103"/>
      <c r="G36" s="103">
        <v>10</v>
      </c>
      <c r="H36" s="12"/>
    </row>
    <row r="37" spans="1:8" ht="27" x14ac:dyDescent="0.25">
      <c r="A37" s="160"/>
      <c r="B37" s="73" t="s">
        <v>162</v>
      </c>
      <c r="C37" s="68" t="s">
        <v>31</v>
      </c>
      <c r="D37" s="110">
        <f t="shared" ref="D37:F37" si="4">SUM(D38:D42)</f>
        <v>4112.2</v>
      </c>
      <c r="E37" s="110">
        <f t="shared" si="4"/>
        <v>1456.5</v>
      </c>
      <c r="F37" s="110">
        <f t="shared" si="4"/>
        <v>126.39999999999999</v>
      </c>
      <c r="G37" s="110">
        <f>SUM(G38:G42)</f>
        <v>2655.7</v>
      </c>
      <c r="H37" s="12"/>
    </row>
    <row r="38" spans="1:8" ht="12.95" customHeight="1" x14ac:dyDescent="0.25">
      <c r="A38" s="160"/>
      <c r="B38" s="82" t="s">
        <v>20</v>
      </c>
      <c r="C38" s="156"/>
      <c r="D38" s="103">
        <f t="shared" si="0"/>
        <v>215.7</v>
      </c>
      <c r="E38" s="103"/>
      <c r="F38" s="103"/>
      <c r="G38" s="103">
        <v>215.7</v>
      </c>
      <c r="H38" s="12"/>
    </row>
    <row r="39" spans="1:8" ht="12.95" customHeight="1" x14ac:dyDescent="0.25">
      <c r="A39" s="160"/>
      <c r="B39" s="83" t="s">
        <v>32</v>
      </c>
      <c r="C39" s="157"/>
      <c r="D39" s="103">
        <f t="shared" si="0"/>
        <v>2469.3000000000002</v>
      </c>
      <c r="E39" s="103">
        <f>897.4+137.6</f>
        <v>1035</v>
      </c>
      <c r="F39" s="103"/>
      <c r="G39" s="103">
        <f>1242.3+192</f>
        <v>1434.3</v>
      </c>
      <c r="H39" s="12"/>
    </row>
    <row r="40" spans="1:8" ht="12.95" customHeight="1" x14ac:dyDescent="0.25">
      <c r="A40" s="160"/>
      <c r="B40" s="85" t="s">
        <v>21</v>
      </c>
      <c r="C40" s="157"/>
      <c r="D40" s="103">
        <f t="shared" si="0"/>
        <v>29.1</v>
      </c>
      <c r="E40" s="103">
        <v>29.1</v>
      </c>
      <c r="F40" s="103">
        <v>22.3</v>
      </c>
      <c r="G40" s="103"/>
      <c r="H40" s="12"/>
    </row>
    <row r="41" spans="1:8" ht="12.95" customHeight="1" x14ac:dyDescent="0.25">
      <c r="A41" s="160"/>
      <c r="B41" s="83" t="s">
        <v>29</v>
      </c>
      <c r="C41" s="157"/>
      <c r="D41" s="103">
        <f t="shared" si="0"/>
        <v>38.1</v>
      </c>
      <c r="E41" s="103"/>
      <c r="F41" s="103"/>
      <c r="G41" s="103">
        <v>38.1</v>
      </c>
      <c r="H41" s="12"/>
    </row>
    <row r="42" spans="1:8" ht="12.95" customHeight="1" x14ac:dyDescent="0.25">
      <c r="A42" s="160"/>
      <c r="B42" s="84" t="s">
        <v>16</v>
      </c>
      <c r="C42" s="157"/>
      <c r="D42" s="103">
        <f t="shared" si="0"/>
        <v>1360</v>
      </c>
      <c r="E42" s="103">
        <v>392.4</v>
      </c>
      <c r="F42" s="103">
        <v>104.1</v>
      </c>
      <c r="G42" s="103">
        <f>519+448.6</f>
        <v>967.6</v>
      </c>
      <c r="H42" s="12"/>
    </row>
    <row r="43" spans="1:8" ht="15" customHeight="1" x14ac:dyDescent="0.25">
      <c r="A43" s="160"/>
      <c r="B43" s="73" t="s">
        <v>150</v>
      </c>
      <c r="C43" s="68" t="s">
        <v>33</v>
      </c>
      <c r="D43" s="110">
        <f t="shared" ref="D43" si="5">SUM(D44:D48)</f>
        <v>4369.3</v>
      </c>
      <c r="E43" s="110">
        <f t="shared" ref="E43" si="6">SUM(E44:E48)</f>
        <v>4206.7</v>
      </c>
      <c r="F43" s="110">
        <f t="shared" ref="F43" si="7">SUM(F44:F48)</f>
        <v>322.60000000000002</v>
      </c>
      <c r="G43" s="110">
        <f>SUM(G44:G48)</f>
        <v>162.6</v>
      </c>
      <c r="H43" s="12"/>
    </row>
    <row r="44" spans="1:8" ht="12.95" customHeight="1" x14ac:dyDescent="0.25">
      <c r="A44" s="160"/>
      <c r="B44" s="82" t="s">
        <v>20</v>
      </c>
      <c r="C44" s="175"/>
      <c r="D44" s="107">
        <f t="shared" si="0"/>
        <v>265.3</v>
      </c>
      <c r="E44" s="103">
        <v>112.7</v>
      </c>
      <c r="F44" s="103">
        <v>100.7</v>
      </c>
      <c r="G44" s="103">
        <v>152.6</v>
      </c>
    </row>
    <row r="45" spans="1:8" ht="12.95" customHeight="1" x14ac:dyDescent="0.25">
      <c r="A45" s="160"/>
      <c r="B45" s="83" t="s">
        <v>27</v>
      </c>
      <c r="C45" s="176"/>
      <c r="D45" s="107">
        <f>SUM(G45+E45)</f>
        <v>53.4</v>
      </c>
      <c r="E45" s="103">
        <f>47.4+6</f>
        <v>53.4</v>
      </c>
      <c r="F45" s="103">
        <f>1.8+5.9</f>
        <v>7.7</v>
      </c>
      <c r="G45" s="103"/>
    </row>
    <row r="46" spans="1:8" ht="12.95" customHeight="1" x14ac:dyDescent="0.25">
      <c r="A46" s="160"/>
      <c r="B46" s="85" t="s">
        <v>21</v>
      </c>
      <c r="C46" s="176"/>
      <c r="D46" s="107">
        <f>SUM(G46+E46)</f>
        <v>3.7</v>
      </c>
      <c r="E46" s="103">
        <v>3.7</v>
      </c>
      <c r="F46" s="103"/>
      <c r="G46" s="103"/>
    </row>
    <row r="47" spans="1:8" ht="12.95" customHeight="1" x14ac:dyDescent="0.25">
      <c r="A47" s="160"/>
      <c r="B47" s="83" t="s">
        <v>16</v>
      </c>
      <c r="C47" s="176"/>
      <c r="D47" s="107">
        <f t="shared" si="0"/>
        <v>1695</v>
      </c>
      <c r="E47" s="103">
        <f>1105+580</f>
        <v>1685</v>
      </c>
      <c r="F47" s="103">
        <v>214.2</v>
      </c>
      <c r="G47" s="103">
        <v>10</v>
      </c>
    </row>
    <row r="48" spans="1:8" ht="12.95" customHeight="1" x14ac:dyDescent="0.25">
      <c r="A48" s="160"/>
      <c r="B48" s="84" t="s">
        <v>34</v>
      </c>
      <c r="C48" s="177"/>
      <c r="D48" s="107">
        <f t="shared" si="0"/>
        <v>2351.9</v>
      </c>
      <c r="E48" s="103">
        <v>2351.9</v>
      </c>
      <c r="F48" s="103"/>
      <c r="G48" s="103"/>
    </row>
    <row r="49" spans="1:8" ht="15" customHeight="1" x14ac:dyDescent="0.25">
      <c r="A49" s="160"/>
      <c r="B49" s="73" t="s">
        <v>151</v>
      </c>
      <c r="C49" s="72" t="s">
        <v>35</v>
      </c>
      <c r="D49" s="110">
        <f t="shared" ref="D49:F49" si="8">SUM(D50:D55)</f>
        <v>144</v>
      </c>
      <c r="E49" s="110">
        <f t="shared" si="8"/>
        <v>144</v>
      </c>
      <c r="F49" s="110">
        <f t="shared" si="8"/>
        <v>6.8</v>
      </c>
      <c r="G49" s="110">
        <f>SUM(G50:G55)</f>
        <v>0</v>
      </c>
    </row>
    <row r="50" spans="1:8" ht="12.95" customHeight="1" x14ac:dyDescent="0.25">
      <c r="A50" s="160"/>
      <c r="B50" s="82" t="s">
        <v>20</v>
      </c>
      <c r="C50" s="175"/>
      <c r="D50" s="65">
        <f t="shared" si="0"/>
        <v>10.5</v>
      </c>
      <c r="E50" s="11">
        <v>10.5</v>
      </c>
      <c r="F50" s="11">
        <v>3</v>
      </c>
      <c r="G50" s="11"/>
      <c r="H50" s="12"/>
    </row>
    <row r="51" spans="1:8" ht="12.95" customHeight="1" x14ac:dyDescent="0.25">
      <c r="A51" s="160"/>
      <c r="B51" s="85" t="s">
        <v>21</v>
      </c>
      <c r="C51" s="176"/>
      <c r="D51" s="65">
        <f t="shared" si="0"/>
        <v>3.9</v>
      </c>
      <c r="E51" s="11">
        <v>3.9</v>
      </c>
      <c r="F51" s="11">
        <v>3.8</v>
      </c>
      <c r="G51" s="11"/>
      <c r="H51" s="12"/>
    </row>
    <row r="52" spans="1:8" ht="12.95" customHeight="1" x14ac:dyDescent="0.25">
      <c r="A52" s="160"/>
      <c r="B52" s="83" t="s">
        <v>22</v>
      </c>
      <c r="C52" s="176"/>
      <c r="D52" s="65">
        <f t="shared" si="0"/>
        <v>57.4</v>
      </c>
      <c r="E52" s="11">
        <f>7.9+49.5</f>
        <v>57.4</v>
      </c>
      <c r="F52" s="11"/>
      <c r="G52" s="11"/>
      <c r="H52" s="12"/>
    </row>
    <row r="53" spans="1:8" ht="12.95" customHeight="1" x14ac:dyDescent="0.25">
      <c r="A53" s="160"/>
      <c r="B53" s="83" t="s">
        <v>29</v>
      </c>
      <c r="C53" s="176"/>
      <c r="D53" s="65">
        <f t="shared" si="0"/>
        <v>1</v>
      </c>
      <c r="E53" s="11">
        <v>1</v>
      </c>
      <c r="F53" s="11"/>
      <c r="G53" s="11"/>
      <c r="H53" s="12"/>
    </row>
    <row r="54" spans="1:8" ht="12.95" customHeight="1" x14ac:dyDescent="0.25">
      <c r="A54" s="160"/>
      <c r="B54" s="83" t="s">
        <v>16</v>
      </c>
      <c r="C54" s="176"/>
      <c r="D54" s="65">
        <f t="shared" si="0"/>
        <v>45.2</v>
      </c>
      <c r="E54" s="11">
        <v>45.2</v>
      </c>
      <c r="F54" s="11"/>
      <c r="G54" s="11"/>
      <c r="H54" s="12"/>
    </row>
    <row r="55" spans="1:8" ht="12.95" customHeight="1" x14ac:dyDescent="0.25">
      <c r="A55" s="160"/>
      <c r="B55" s="84" t="s">
        <v>36</v>
      </c>
      <c r="C55" s="177"/>
      <c r="D55" s="65">
        <f t="shared" si="0"/>
        <v>26</v>
      </c>
      <c r="E55" s="11">
        <v>26</v>
      </c>
      <c r="F55" s="11"/>
      <c r="G55" s="16"/>
    </row>
    <row r="56" spans="1:8" ht="15" customHeight="1" x14ac:dyDescent="0.25">
      <c r="A56" s="160"/>
      <c r="B56" s="73" t="s">
        <v>163</v>
      </c>
      <c r="C56" s="72" t="s">
        <v>37</v>
      </c>
      <c r="D56" s="75">
        <f t="shared" ref="D56:F56" si="9">SUM(D57:D59)</f>
        <v>1134.1000000000001</v>
      </c>
      <c r="E56" s="75">
        <f t="shared" si="9"/>
        <v>940.2</v>
      </c>
      <c r="F56" s="75">
        <f t="shared" si="9"/>
        <v>1.3</v>
      </c>
      <c r="G56" s="75">
        <f>SUM(G57:G59)</f>
        <v>193.9</v>
      </c>
    </row>
    <row r="57" spans="1:8" ht="12.95" customHeight="1" x14ac:dyDescent="0.25">
      <c r="A57" s="160"/>
      <c r="B57" s="82" t="s">
        <v>20</v>
      </c>
      <c r="C57" s="175"/>
      <c r="D57" s="65">
        <f t="shared" si="0"/>
        <v>211.7</v>
      </c>
      <c r="E57" s="11">
        <v>87</v>
      </c>
      <c r="F57" s="11">
        <v>1.3</v>
      </c>
      <c r="G57" s="11">
        <v>124.7</v>
      </c>
    </row>
    <row r="58" spans="1:8" ht="12.75" customHeight="1" x14ac:dyDescent="0.25">
      <c r="A58" s="160"/>
      <c r="B58" s="83" t="s">
        <v>16</v>
      </c>
      <c r="C58" s="176"/>
      <c r="D58" s="65">
        <f t="shared" si="0"/>
        <v>768.40000000000009</v>
      </c>
      <c r="E58" s="11">
        <v>764.2</v>
      </c>
      <c r="F58" s="11"/>
      <c r="G58" s="11">
        <v>4.2</v>
      </c>
      <c r="H58" s="12"/>
    </row>
    <row r="59" spans="1:8" ht="12.95" customHeight="1" x14ac:dyDescent="0.25">
      <c r="A59" s="160"/>
      <c r="B59" s="84" t="s">
        <v>36</v>
      </c>
      <c r="C59" s="177"/>
      <c r="D59" s="65">
        <f t="shared" si="0"/>
        <v>154</v>
      </c>
      <c r="E59" s="11">
        <v>89</v>
      </c>
      <c r="F59" s="11"/>
      <c r="G59" s="11">
        <v>65</v>
      </c>
    </row>
    <row r="60" spans="1:8" ht="15" customHeight="1" x14ac:dyDescent="0.25">
      <c r="A60" s="160"/>
      <c r="B60" s="73" t="s">
        <v>153</v>
      </c>
      <c r="C60" s="92" t="s">
        <v>38</v>
      </c>
      <c r="D60" s="75">
        <f t="shared" ref="D60:F60" si="10">SUM(D61:D65)</f>
        <v>2322.5</v>
      </c>
      <c r="E60" s="75">
        <f t="shared" si="10"/>
        <v>512.79999999999995</v>
      </c>
      <c r="F60" s="75">
        <f t="shared" si="10"/>
        <v>0.3</v>
      </c>
      <c r="G60" s="75">
        <f>SUM(G61:G65)</f>
        <v>1809.6999999999998</v>
      </c>
    </row>
    <row r="61" spans="1:8" ht="12.95" customHeight="1" x14ac:dyDescent="0.25">
      <c r="A61" s="160"/>
      <c r="B61" s="83" t="s">
        <v>20</v>
      </c>
      <c r="C61" s="157"/>
      <c r="D61" s="11">
        <f t="shared" si="0"/>
        <v>571.9</v>
      </c>
      <c r="E61" s="11">
        <v>0.3</v>
      </c>
      <c r="F61" s="11">
        <v>0.3</v>
      </c>
      <c r="G61" s="11">
        <v>571.6</v>
      </c>
      <c r="H61" s="12"/>
    </row>
    <row r="62" spans="1:8" ht="12.95" customHeight="1" x14ac:dyDescent="0.25">
      <c r="A62" s="160"/>
      <c r="B62" s="85" t="s">
        <v>21</v>
      </c>
      <c r="C62" s="157"/>
      <c r="D62" s="11">
        <f t="shared" si="0"/>
        <v>453</v>
      </c>
      <c r="E62" s="11">
        <v>453</v>
      </c>
      <c r="F62" s="11"/>
      <c r="G62" s="11"/>
      <c r="H62" s="12"/>
    </row>
    <row r="63" spans="1:8" ht="12.95" customHeight="1" x14ac:dyDescent="0.25">
      <c r="A63" s="160"/>
      <c r="B63" s="83" t="s">
        <v>39</v>
      </c>
      <c r="C63" s="157"/>
      <c r="D63" s="11">
        <f t="shared" si="0"/>
        <v>920</v>
      </c>
      <c r="E63" s="11"/>
      <c r="F63" s="11"/>
      <c r="G63" s="11">
        <v>920</v>
      </c>
      <c r="H63" s="12"/>
    </row>
    <row r="64" spans="1:8" ht="12.95" customHeight="1" x14ac:dyDescent="0.25">
      <c r="A64" s="160"/>
      <c r="B64" s="83" t="s">
        <v>29</v>
      </c>
      <c r="C64" s="157"/>
      <c r="D64" s="11">
        <f t="shared" si="0"/>
        <v>100.8</v>
      </c>
      <c r="E64" s="11"/>
      <c r="F64" s="11"/>
      <c r="G64" s="11">
        <v>100.8</v>
      </c>
      <c r="H64" s="12"/>
    </row>
    <row r="65" spans="1:8" ht="12.95" customHeight="1" x14ac:dyDescent="0.25">
      <c r="A65" s="160"/>
      <c r="B65" s="84" t="s">
        <v>16</v>
      </c>
      <c r="C65" s="157"/>
      <c r="D65" s="11">
        <f t="shared" si="0"/>
        <v>276.8</v>
      </c>
      <c r="E65" s="11">
        <v>59.5</v>
      </c>
      <c r="F65" s="11"/>
      <c r="G65" s="11">
        <v>217.3</v>
      </c>
      <c r="H65" s="12"/>
    </row>
    <row r="66" spans="1:8" ht="18" customHeight="1" x14ac:dyDescent="0.25">
      <c r="A66" s="154" t="s">
        <v>40</v>
      </c>
      <c r="B66" s="93" t="s">
        <v>41</v>
      </c>
      <c r="C66" s="88"/>
      <c r="D66" s="89">
        <f t="shared" si="0"/>
        <v>43.8</v>
      </c>
      <c r="E66" s="89">
        <f>SUM(E67+E71+E74+E69)</f>
        <v>29.1</v>
      </c>
      <c r="F66" s="89">
        <f t="shared" ref="F66:G66" si="11">SUM(F67+F71+F74+F69)</f>
        <v>0</v>
      </c>
      <c r="G66" s="89">
        <f t="shared" si="11"/>
        <v>14.7</v>
      </c>
    </row>
    <row r="67" spans="1:8" ht="15" customHeight="1" x14ac:dyDescent="0.25">
      <c r="A67" s="154"/>
      <c r="B67" s="69" t="s">
        <v>155</v>
      </c>
      <c r="C67" s="68" t="s">
        <v>17</v>
      </c>
      <c r="D67" s="67">
        <f>SUM(D68)</f>
        <v>10</v>
      </c>
      <c r="E67" s="67">
        <f>SUM(E68)</f>
        <v>9.3000000000000007</v>
      </c>
      <c r="F67" s="67">
        <f>SUM(F68)</f>
        <v>0</v>
      </c>
      <c r="G67" s="67">
        <f>SUM(G68)</f>
        <v>0.7</v>
      </c>
    </row>
    <row r="68" spans="1:8" ht="12.75" customHeight="1" x14ac:dyDescent="0.25">
      <c r="A68" s="154"/>
      <c r="B68" s="9" t="s">
        <v>16</v>
      </c>
      <c r="C68" s="10"/>
      <c r="D68" s="11">
        <f t="shared" si="0"/>
        <v>10</v>
      </c>
      <c r="E68" s="11">
        <v>9.3000000000000007</v>
      </c>
      <c r="F68" s="16"/>
      <c r="G68" s="11">
        <v>0.7</v>
      </c>
    </row>
    <row r="69" spans="1:8" ht="12.75" customHeight="1" x14ac:dyDescent="0.25">
      <c r="A69" s="154"/>
      <c r="B69" s="69" t="s">
        <v>148</v>
      </c>
      <c r="C69" s="72" t="s">
        <v>30</v>
      </c>
      <c r="D69" s="11">
        <f t="shared" si="0"/>
        <v>14</v>
      </c>
      <c r="E69" s="111">
        <f>SUM(E70)</f>
        <v>0</v>
      </c>
      <c r="F69" s="111">
        <f t="shared" ref="F69:G69" si="12">SUM(F70)</f>
        <v>0</v>
      </c>
      <c r="G69" s="111">
        <f t="shared" si="12"/>
        <v>14</v>
      </c>
    </row>
    <row r="70" spans="1:8" ht="12.75" customHeight="1" x14ac:dyDescent="0.25">
      <c r="A70" s="154"/>
      <c r="B70" s="9" t="s">
        <v>16</v>
      </c>
      <c r="C70" s="66"/>
      <c r="D70" s="11">
        <f t="shared" si="0"/>
        <v>14</v>
      </c>
      <c r="E70" s="103"/>
      <c r="F70" s="112"/>
      <c r="G70" s="103">
        <v>14</v>
      </c>
    </row>
    <row r="71" spans="1:8" ht="27" x14ac:dyDescent="0.25">
      <c r="A71" s="154"/>
      <c r="B71" s="86" t="s">
        <v>164</v>
      </c>
      <c r="C71" s="105" t="s">
        <v>31</v>
      </c>
      <c r="D71" s="75">
        <f t="shared" ref="D71:E71" si="13">SUM(D72:D73)</f>
        <v>16</v>
      </c>
      <c r="E71" s="110">
        <f t="shared" si="13"/>
        <v>16</v>
      </c>
      <c r="F71" s="110">
        <f t="shared" ref="F71" si="14">SUM(F72:F73)</f>
        <v>0</v>
      </c>
      <c r="G71" s="110">
        <f t="shared" ref="G71" si="15">SUM(G72:G73)</f>
        <v>0</v>
      </c>
    </row>
    <row r="72" spans="1:8" ht="12.95" customHeight="1" x14ac:dyDescent="0.25">
      <c r="A72" s="155"/>
      <c r="B72" s="82" t="s">
        <v>16</v>
      </c>
      <c r="C72" s="156"/>
      <c r="D72" s="11">
        <f t="shared" si="0"/>
        <v>15.4</v>
      </c>
      <c r="E72" s="11">
        <v>15.4</v>
      </c>
      <c r="F72" s="16"/>
      <c r="G72" s="16"/>
    </row>
    <row r="73" spans="1:8" ht="12.95" customHeight="1" x14ac:dyDescent="0.25">
      <c r="A73" s="155"/>
      <c r="B73" s="84" t="s">
        <v>24</v>
      </c>
      <c r="C73" s="157"/>
      <c r="D73" s="11">
        <f t="shared" si="0"/>
        <v>0.6</v>
      </c>
      <c r="E73" s="11">
        <v>0.6</v>
      </c>
      <c r="F73" s="16"/>
      <c r="G73" s="16"/>
    </row>
    <row r="74" spans="1:8" ht="15" customHeight="1" x14ac:dyDescent="0.25">
      <c r="A74" s="154"/>
      <c r="B74" s="73" t="s">
        <v>165</v>
      </c>
      <c r="C74" s="68" t="s">
        <v>33</v>
      </c>
      <c r="D74" s="75">
        <f t="shared" ref="D74:F74" si="16">SUM(D75)</f>
        <v>3.8</v>
      </c>
      <c r="E74" s="75">
        <f t="shared" si="16"/>
        <v>3.8</v>
      </c>
      <c r="F74" s="75">
        <f t="shared" si="16"/>
        <v>0</v>
      </c>
      <c r="G74" s="75">
        <f>SUM(G75)</f>
        <v>0</v>
      </c>
    </row>
    <row r="75" spans="1:8" ht="12.75" customHeight="1" x14ac:dyDescent="0.25">
      <c r="A75" s="154"/>
      <c r="B75" s="9" t="s">
        <v>16</v>
      </c>
      <c r="C75" s="10"/>
      <c r="D75" s="11">
        <f t="shared" si="0"/>
        <v>3.8</v>
      </c>
      <c r="E75" s="11">
        <v>3.8</v>
      </c>
      <c r="F75" s="18"/>
      <c r="G75" s="18"/>
    </row>
    <row r="76" spans="1:8" ht="18" customHeight="1" x14ac:dyDescent="0.25">
      <c r="A76" s="154" t="s">
        <v>42</v>
      </c>
      <c r="B76" s="87" t="s">
        <v>43</v>
      </c>
      <c r="C76" s="88"/>
      <c r="D76" s="89">
        <f t="shared" ref="D76" si="17">SUM(G76+E76)</f>
        <v>48.2</v>
      </c>
      <c r="E76" s="89">
        <f>SUM(E77+E79+E82)</f>
        <v>41.2</v>
      </c>
      <c r="F76" s="89">
        <f>SUM(F77+F79+F82)</f>
        <v>0</v>
      </c>
      <c r="G76" s="89">
        <f>SUM(G77+G79+G82)</f>
        <v>7</v>
      </c>
    </row>
    <row r="77" spans="1:8" ht="15" customHeight="1" x14ac:dyDescent="0.25">
      <c r="A77" s="154"/>
      <c r="B77" s="69" t="s">
        <v>155</v>
      </c>
      <c r="C77" s="68" t="s">
        <v>17</v>
      </c>
      <c r="D77" s="67">
        <f>SUM(D78)</f>
        <v>11.3</v>
      </c>
      <c r="E77" s="67">
        <f>SUM(E78)</f>
        <v>11.3</v>
      </c>
      <c r="F77" s="67">
        <f>SUM(F78)</f>
        <v>0</v>
      </c>
      <c r="G77" s="67">
        <f>SUM(G78)</f>
        <v>0</v>
      </c>
    </row>
    <row r="78" spans="1:8" ht="12.75" customHeight="1" x14ac:dyDescent="0.25">
      <c r="A78" s="154"/>
      <c r="B78" s="9" t="s">
        <v>16</v>
      </c>
      <c r="C78" s="10"/>
      <c r="D78" s="11">
        <f t="shared" si="0"/>
        <v>11.3</v>
      </c>
      <c r="E78" s="11">
        <v>11.3</v>
      </c>
      <c r="F78" s="11"/>
      <c r="G78" s="11"/>
    </row>
    <row r="79" spans="1:8" ht="27" x14ac:dyDescent="0.25">
      <c r="A79" s="154"/>
      <c r="B79" s="86" t="s">
        <v>162</v>
      </c>
      <c r="C79" s="68" t="s">
        <v>31</v>
      </c>
      <c r="D79" s="75">
        <f t="shared" ref="D79" si="18">SUM(D80:D81)</f>
        <v>30.3</v>
      </c>
      <c r="E79" s="75">
        <f t="shared" ref="E79" si="19">SUM(E80:E81)</f>
        <v>23.3</v>
      </c>
      <c r="F79" s="75">
        <f t="shared" ref="F79" si="20">SUM(F80:F81)</f>
        <v>0</v>
      </c>
      <c r="G79" s="75">
        <f t="shared" ref="G79" si="21">SUM(G80:G81)</f>
        <v>7</v>
      </c>
    </row>
    <row r="80" spans="1:8" ht="12.75" customHeight="1" x14ac:dyDescent="0.25">
      <c r="A80" s="155"/>
      <c r="B80" s="82" t="s">
        <v>16</v>
      </c>
      <c r="C80" s="156"/>
      <c r="D80" s="103">
        <f t="shared" si="0"/>
        <v>28.3</v>
      </c>
      <c r="E80" s="103">
        <v>21.3</v>
      </c>
      <c r="F80" s="103"/>
      <c r="G80" s="103">
        <v>7</v>
      </c>
    </row>
    <row r="81" spans="1:7" ht="12.75" customHeight="1" x14ac:dyDescent="0.25">
      <c r="A81" s="155"/>
      <c r="B81" s="84" t="s">
        <v>24</v>
      </c>
      <c r="C81" s="158"/>
      <c r="D81" s="103">
        <f t="shared" si="0"/>
        <v>2</v>
      </c>
      <c r="E81" s="103">
        <v>2</v>
      </c>
      <c r="F81" s="103"/>
      <c r="G81" s="103"/>
    </row>
    <row r="82" spans="1:7" ht="15" customHeight="1" x14ac:dyDescent="0.25">
      <c r="A82" s="154"/>
      <c r="B82" s="73" t="s">
        <v>150</v>
      </c>
      <c r="C82" s="68" t="s">
        <v>33</v>
      </c>
      <c r="D82" s="110">
        <f t="shared" ref="D82" si="22">SUM(D83)</f>
        <v>6.6</v>
      </c>
      <c r="E82" s="110">
        <f t="shared" ref="E82" si="23">SUM(E83)</f>
        <v>6.6</v>
      </c>
      <c r="F82" s="110">
        <f t="shared" ref="F82" si="24">SUM(F83)</f>
        <v>0</v>
      </c>
      <c r="G82" s="110">
        <f>SUM(G83)</f>
        <v>0</v>
      </c>
    </row>
    <row r="83" spans="1:7" ht="12.75" customHeight="1" x14ac:dyDescent="0.25">
      <c r="A83" s="154"/>
      <c r="B83" s="9" t="s">
        <v>16</v>
      </c>
      <c r="C83" s="10"/>
      <c r="D83" s="103">
        <f t="shared" si="0"/>
        <v>6.6</v>
      </c>
      <c r="E83" s="103">
        <v>6.6</v>
      </c>
      <c r="F83" s="113"/>
      <c r="G83" s="114"/>
    </row>
    <row r="84" spans="1:7" ht="18" customHeight="1" x14ac:dyDescent="0.25">
      <c r="A84" s="154" t="s">
        <v>44</v>
      </c>
      <c r="B84" s="87" t="s">
        <v>45</v>
      </c>
      <c r="C84" s="90"/>
      <c r="D84" s="115">
        <f t="shared" si="0"/>
        <v>26.699999999999996</v>
      </c>
      <c r="E84" s="115">
        <f t="shared" ref="E84" si="25">SUM(E85+E87+E90)</f>
        <v>25.299999999999997</v>
      </c>
      <c r="F84" s="115">
        <f t="shared" ref="F84" si="26">SUM(F85+F87+F90)</f>
        <v>0</v>
      </c>
      <c r="G84" s="115">
        <f>SUM(G85+G87+G90)</f>
        <v>1.4</v>
      </c>
    </row>
    <row r="85" spans="1:7" ht="15" customHeight="1" x14ac:dyDescent="0.25">
      <c r="A85" s="154"/>
      <c r="B85" s="69" t="s">
        <v>155</v>
      </c>
      <c r="C85" s="68" t="s">
        <v>17</v>
      </c>
      <c r="D85" s="111">
        <f>SUM(D86)</f>
        <v>7.9</v>
      </c>
      <c r="E85" s="111">
        <f>SUM(E86)</f>
        <v>7.2</v>
      </c>
      <c r="F85" s="111">
        <f>SUM(F86)</f>
        <v>0</v>
      </c>
      <c r="G85" s="111">
        <f>SUM(G86)</f>
        <v>0.7</v>
      </c>
    </row>
    <row r="86" spans="1:7" ht="12.75" customHeight="1" x14ac:dyDescent="0.25">
      <c r="A86" s="154"/>
      <c r="B86" s="9" t="s">
        <v>16</v>
      </c>
      <c r="C86" s="10"/>
      <c r="D86" s="103">
        <f t="shared" si="0"/>
        <v>7.9</v>
      </c>
      <c r="E86" s="103">
        <v>7.2</v>
      </c>
      <c r="F86" s="103"/>
      <c r="G86" s="103">
        <v>0.7</v>
      </c>
    </row>
    <row r="87" spans="1:7" ht="27" x14ac:dyDescent="0.25">
      <c r="A87" s="154"/>
      <c r="B87" s="86" t="s">
        <v>164</v>
      </c>
      <c r="C87" s="68" t="s">
        <v>31</v>
      </c>
      <c r="D87" s="110">
        <f t="shared" ref="D87" si="27">SUM(D88:D89)</f>
        <v>14.7</v>
      </c>
      <c r="E87" s="110">
        <f t="shared" ref="E87" si="28">SUM(E88:E89)</f>
        <v>14.7</v>
      </c>
      <c r="F87" s="110">
        <f t="shared" ref="F87" si="29">SUM(F88:F89)</f>
        <v>0</v>
      </c>
      <c r="G87" s="110">
        <f t="shared" ref="G87" si="30">SUM(G88:G89)</f>
        <v>0</v>
      </c>
    </row>
    <row r="88" spans="1:7" ht="12.75" customHeight="1" x14ac:dyDescent="0.25">
      <c r="A88" s="155"/>
      <c r="B88" s="82" t="s">
        <v>16</v>
      </c>
      <c r="C88" s="156"/>
      <c r="D88" s="103">
        <f t="shared" si="0"/>
        <v>14.1</v>
      </c>
      <c r="E88" s="103">
        <v>14.1</v>
      </c>
      <c r="F88" s="103"/>
      <c r="G88" s="103"/>
    </row>
    <row r="89" spans="1:7" ht="12.75" customHeight="1" x14ac:dyDescent="0.25">
      <c r="A89" s="155"/>
      <c r="B89" s="84" t="s">
        <v>24</v>
      </c>
      <c r="C89" s="158"/>
      <c r="D89" s="103">
        <f t="shared" si="0"/>
        <v>0.6</v>
      </c>
      <c r="E89" s="103">
        <v>0.6</v>
      </c>
      <c r="F89" s="103"/>
      <c r="G89" s="103"/>
    </row>
    <row r="90" spans="1:7" ht="15" customHeight="1" x14ac:dyDescent="0.25">
      <c r="A90" s="154"/>
      <c r="B90" s="91" t="s">
        <v>150</v>
      </c>
      <c r="C90" s="68" t="s">
        <v>33</v>
      </c>
      <c r="D90" s="110">
        <f t="shared" ref="D90" si="31">SUM(D91)</f>
        <v>4.0999999999999996</v>
      </c>
      <c r="E90" s="110">
        <f t="shared" ref="E90" si="32">SUM(E91)</f>
        <v>3.4</v>
      </c>
      <c r="F90" s="110">
        <f t="shared" ref="F90" si="33">SUM(F91)</f>
        <v>0</v>
      </c>
      <c r="G90" s="110">
        <f>SUM(G91)</f>
        <v>0.7</v>
      </c>
    </row>
    <row r="91" spans="1:7" ht="12.75" customHeight="1" x14ac:dyDescent="0.25">
      <c r="A91" s="154"/>
      <c r="B91" s="9" t="s">
        <v>16</v>
      </c>
      <c r="C91" s="10"/>
      <c r="D91" s="103">
        <f t="shared" si="0"/>
        <v>4.0999999999999996</v>
      </c>
      <c r="E91" s="103">
        <v>3.4</v>
      </c>
      <c r="F91" s="113"/>
      <c r="G91" s="116">
        <v>0.7</v>
      </c>
    </row>
    <row r="92" spans="1:7" ht="18" customHeight="1" x14ac:dyDescent="0.25">
      <c r="A92" s="154" t="s">
        <v>46</v>
      </c>
      <c r="B92" s="87" t="s">
        <v>47</v>
      </c>
      <c r="C92" s="88"/>
      <c r="D92" s="115">
        <f t="shared" ref="D92" si="34">SUM(G92+E92)</f>
        <v>47.6</v>
      </c>
      <c r="E92" s="115">
        <f>SUM(E93+E95+E98)</f>
        <v>45.2</v>
      </c>
      <c r="F92" s="115">
        <f t="shared" ref="F92" si="35">SUM(F93+F95+F98)</f>
        <v>0</v>
      </c>
      <c r="G92" s="115">
        <f>SUM(G93+G95+G98)</f>
        <v>2.4</v>
      </c>
    </row>
    <row r="93" spans="1:7" ht="15" customHeight="1" x14ac:dyDescent="0.25">
      <c r="A93" s="154"/>
      <c r="B93" s="69" t="s">
        <v>155</v>
      </c>
      <c r="C93" s="68" t="s">
        <v>17</v>
      </c>
      <c r="D93" s="111">
        <f>SUM(D94)</f>
        <v>9.3000000000000007</v>
      </c>
      <c r="E93" s="111">
        <f>SUM(E94)</f>
        <v>9.3000000000000007</v>
      </c>
      <c r="F93" s="111">
        <f>SUM(F94)</f>
        <v>0</v>
      </c>
      <c r="G93" s="111">
        <f>SUM(G94)</f>
        <v>0</v>
      </c>
    </row>
    <row r="94" spans="1:7" ht="12.75" customHeight="1" x14ac:dyDescent="0.25">
      <c r="A94" s="154"/>
      <c r="B94" s="9" t="s">
        <v>16</v>
      </c>
      <c r="C94" s="10"/>
      <c r="D94" s="103">
        <f t="shared" si="0"/>
        <v>9.3000000000000007</v>
      </c>
      <c r="E94" s="103">
        <v>9.3000000000000007</v>
      </c>
      <c r="F94" s="103"/>
      <c r="G94" s="103"/>
    </row>
    <row r="95" spans="1:7" ht="27" x14ac:dyDescent="0.25">
      <c r="A95" s="154"/>
      <c r="B95" s="86" t="s">
        <v>164</v>
      </c>
      <c r="C95" s="68" t="s">
        <v>31</v>
      </c>
      <c r="D95" s="110">
        <f t="shared" ref="D95" si="36">SUM(D96:D97)</f>
        <v>33.299999999999997</v>
      </c>
      <c r="E95" s="110">
        <f t="shared" ref="E95" si="37">SUM(E96:E97)</f>
        <v>30.9</v>
      </c>
      <c r="F95" s="110">
        <f t="shared" ref="F95" si="38">SUM(F96:F97)</f>
        <v>0</v>
      </c>
      <c r="G95" s="110">
        <f t="shared" ref="G95" si="39">SUM(G96:G97)</f>
        <v>2.4</v>
      </c>
    </row>
    <row r="96" spans="1:7" ht="12.75" customHeight="1" x14ac:dyDescent="0.25">
      <c r="A96" s="155"/>
      <c r="B96" s="82" t="s">
        <v>16</v>
      </c>
      <c r="C96" s="156"/>
      <c r="D96" s="103">
        <f t="shared" si="0"/>
        <v>31.299999999999997</v>
      </c>
      <c r="E96" s="103">
        <f>21.9+7</f>
        <v>28.9</v>
      </c>
      <c r="F96" s="103"/>
      <c r="G96" s="103">
        <v>2.4</v>
      </c>
    </row>
    <row r="97" spans="1:7" ht="12.75" customHeight="1" x14ac:dyDescent="0.25">
      <c r="A97" s="155"/>
      <c r="B97" s="84" t="s">
        <v>24</v>
      </c>
      <c r="C97" s="157"/>
      <c r="D97" s="103">
        <f t="shared" si="0"/>
        <v>2</v>
      </c>
      <c r="E97" s="103">
        <v>2</v>
      </c>
      <c r="F97" s="103"/>
      <c r="G97" s="103"/>
    </row>
    <row r="98" spans="1:7" ht="15" customHeight="1" x14ac:dyDescent="0.25">
      <c r="A98" s="154"/>
      <c r="B98" s="91" t="s">
        <v>150</v>
      </c>
      <c r="C98" s="68" t="s">
        <v>33</v>
      </c>
      <c r="D98" s="110">
        <f t="shared" ref="D98" si="40">SUM(D99)</f>
        <v>5</v>
      </c>
      <c r="E98" s="110">
        <f t="shared" ref="E98" si="41">SUM(E99)</f>
        <v>5</v>
      </c>
      <c r="F98" s="110">
        <f t="shared" ref="F98" si="42">SUM(F99)</f>
        <v>0</v>
      </c>
      <c r="G98" s="110">
        <f>SUM(G99)</f>
        <v>0</v>
      </c>
    </row>
    <row r="99" spans="1:7" ht="12.75" customHeight="1" x14ac:dyDescent="0.25">
      <c r="A99" s="154"/>
      <c r="B99" s="9" t="s">
        <v>16</v>
      </c>
      <c r="C99" s="10"/>
      <c r="D99" s="103">
        <f t="shared" si="0"/>
        <v>5</v>
      </c>
      <c r="E99" s="103">
        <v>5</v>
      </c>
      <c r="F99" s="113"/>
      <c r="G99" s="114"/>
    </row>
    <row r="100" spans="1:7" ht="18" customHeight="1" x14ac:dyDescent="0.25">
      <c r="A100" s="169" t="s">
        <v>48</v>
      </c>
      <c r="B100" s="87" t="s">
        <v>49</v>
      </c>
      <c r="C100" s="88"/>
      <c r="D100" s="115">
        <f t="shared" si="0"/>
        <v>48.300000000000004</v>
      </c>
      <c r="E100" s="115">
        <f>SUM(E101+E105+E108+E103)</f>
        <v>42.6</v>
      </c>
      <c r="F100" s="115">
        <f t="shared" ref="F100:G100" si="43">SUM(F101+F105+F108+F103)</f>
        <v>0</v>
      </c>
      <c r="G100" s="115">
        <f t="shared" si="43"/>
        <v>5.7</v>
      </c>
    </row>
    <row r="101" spans="1:7" ht="15" customHeight="1" x14ac:dyDescent="0.25">
      <c r="A101" s="169"/>
      <c r="B101" s="69" t="s">
        <v>155</v>
      </c>
      <c r="C101" s="68" t="s">
        <v>17</v>
      </c>
      <c r="D101" s="111">
        <f>SUM(D102)</f>
        <v>9.3000000000000007</v>
      </c>
      <c r="E101" s="111">
        <f>SUM(E102)</f>
        <v>9.3000000000000007</v>
      </c>
      <c r="F101" s="111">
        <f>SUM(F102)</f>
        <v>0</v>
      </c>
      <c r="G101" s="111">
        <f>SUM(G102)</f>
        <v>0</v>
      </c>
    </row>
    <row r="102" spans="1:7" ht="12.75" customHeight="1" x14ac:dyDescent="0.25">
      <c r="A102" s="169"/>
      <c r="B102" s="9" t="s">
        <v>16</v>
      </c>
      <c r="C102" s="10"/>
      <c r="D102" s="103">
        <f t="shared" si="0"/>
        <v>9.3000000000000007</v>
      </c>
      <c r="E102" s="103">
        <v>9.3000000000000007</v>
      </c>
      <c r="F102" s="103"/>
      <c r="G102" s="103"/>
    </row>
    <row r="103" spans="1:7" ht="12.75" customHeight="1" x14ac:dyDescent="0.25">
      <c r="A103" s="169"/>
      <c r="B103" s="117" t="s">
        <v>148</v>
      </c>
      <c r="C103" s="118" t="s">
        <v>30</v>
      </c>
      <c r="D103" s="103">
        <f t="shared" si="0"/>
        <v>5.7</v>
      </c>
      <c r="E103" s="111">
        <f>SUM(E104)</f>
        <v>0</v>
      </c>
      <c r="F103" s="111">
        <f t="shared" ref="F103:G103" si="44">SUM(F104)</f>
        <v>0</v>
      </c>
      <c r="G103" s="111">
        <f t="shared" si="44"/>
        <v>5.7</v>
      </c>
    </row>
    <row r="104" spans="1:7" ht="12.75" customHeight="1" x14ac:dyDescent="0.25">
      <c r="A104" s="169"/>
      <c r="B104" s="119" t="s">
        <v>16</v>
      </c>
      <c r="C104" s="118"/>
      <c r="D104" s="103">
        <f t="shared" ref="D104" si="45">SUM(G104+E104)</f>
        <v>5.7</v>
      </c>
      <c r="E104" s="103"/>
      <c r="F104" s="103"/>
      <c r="G104" s="103">
        <v>5.7</v>
      </c>
    </row>
    <row r="105" spans="1:7" ht="27" x14ac:dyDescent="0.25">
      <c r="A105" s="169"/>
      <c r="B105" s="86" t="s">
        <v>162</v>
      </c>
      <c r="C105" s="68" t="s">
        <v>31</v>
      </c>
      <c r="D105" s="110">
        <f t="shared" ref="D105" si="46">SUM(D106:D107)</f>
        <v>29.4</v>
      </c>
      <c r="E105" s="110">
        <f t="shared" ref="E105" si="47">SUM(E106:E107)</f>
        <v>29.4</v>
      </c>
      <c r="F105" s="110">
        <f t="shared" ref="F105" si="48">SUM(F106:F107)</f>
        <v>0</v>
      </c>
      <c r="G105" s="110">
        <f t="shared" ref="G105" si="49">SUM(G106:G107)</f>
        <v>0</v>
      </c>
    </row>
    <row r="106" spans="1:7" ht="12.75" customHeight="1" x14ac:dyDescent="0.25">
      <c r="A106" s="170"/>
      <c r="B106" s="82" t="s">
        <v>16</v>
      </c>
      <c r="C106" s="156"/>
      <c r="D106" s="103">
        <f t="shared" ref="D106:D213" si="50">SUM(G106+E106)</f>
        <v>28.2</v>
      </c>
      <c r="E106" s="103">
        <v>28.2</v>
      </c>
      <c r="F106" s="103"/>
      <c r="G106" s="103"/>
    </row>
    <row r="107" spans="1:7" ht="12.75" customHeight="1" x14ac:dyDescent="0.25">
      <c r="A107" s="170"/>
      <c r="B107" s="84" t="s">
        <v>24</v>
      </c>
      <c r="C107" s="157"/>
      <c r="D107" s="103">
        <f t="shared" si="50"/>
        <v>1.2</v>
      </c>
      <c r="E107" s="103">
        <v>1.2</v>
      </c>
      <c r="F107" s="103"/>
      <c r="G107" s="103"/>
    </row>
    <row r="108" spans="1:7" ht="15" customHeight="1" x14ac:dyDescent="0.25">
      <c r="A108" s="169"/>
      <c r="B108" s="91" t="s">
        <v>150</v>
      </c>
      <c r="C108" s="68" t="s">
        <v>33</v>
      </c>
      <c r="D108" s="110">
        <f t="shared" ref="D108" si="51">SUM(D109)</f>
        <v>3.9</v>
      </c>
      <c r="E108" s="110">
        <f t="shared" ref="E108" si="52">SUM(E109)</f>
        <v>3.9</v>
      </c>
      <c r="F108" s="110">
        <f t="shared" ref="F108" si="53">SUM(F109)</f>
        <v>0</v>
      </c>
      <c r="G108" s="110">
        <f>SUM(G109)</f>
        <v>0</v>
      </c>
    </row>
    <row r="109" spans="1:7" ht="12.75" customHeight="1" x14ac:dyDescent="0.25">
      <c r="A109" s="169"/>
      <c r="B109" s="9" t="s">
        <v>16</v>
      </c>
      <c r="C109" s="10"/>
      <c r="D109" s="103">
        <f t="shared" si="50"/>
        <v>3.9</v>
      </c>
      <c r="E109" s="103">
        <v>3.9</v>
      </c>
      <c r="F109" s="113"/>
      <c r="G109" s="114"/>
    </row>
    <row r="110" spans="1:7" ht="18" customHeight="1" x14ac:dyDescent="0.25">
      <c r="A110" s="169" t="s">
        <v>50</v>
      </c>
      <c r="B110" s="87" t="s">
        <v>51</v>
      </c>
      <c r="C110" s="90"/>
      <c r="D110" s="89">
        <f t="shared" si="50"/>
        <v>45.4</v>
      </c>
      <c r="E110" s="89">
        <f t="shared" ref="E110" si="54">SUM(E111+E113+E116)</f>
        <v>45.4</v>
      </c>
      <c r="F110" s="89">
        <f t="shared" ref="F110" si="55">SUM(F111+F113+F116)</f>
        <v>0</v>
      </c>
      <c r="G110" s="89">
        <f>SUM(G111+G113+G116)</f>
        <v>0</v>
      </c>
    </row>
    <row r="111" spans="1:7" ht="15" customHeight="1" x14ac:dyDescent="0.25">
      <c r="A111" s="169"/>
      <c r="B111" s="69" t="s">
        <v>155</v>
      </c>
      <c r="C111" s="68" t="s">
        <v>17</v>
      </c>
      <c r="D111" s="67">
        <f>SUM(D112)</f>
        <v>14.2</v>
      </c>
      <c r="E111" s="67">
        <f>SUM(E112)</f>
        <v>14.2</v>
      </c>
      <c r="F111" s="67">
        <f>SUM(F112)</f>
        <v>0</v>
      </c>
      <c r="G111" s="67">
        <f>SUM(G112)</f>
        <v>0</v>
      </c>
    </row>
    <row r="112" spans="1:7" ht="12.75" customHeight="1" x14ac:dyDescent="0.25">
      <c r="A112" s="169"/>
      <c r="B112" s="9" t="s">
        <v>16</v>
      </c>
      <c r="C112" s="10"/>
      <c r="D112" s="11">
        <f>SUM(G112+E112)</f>
        <v>14.2</v>
      </c>
      <c r="E112" s="11">
        <v>14.2</v>
      </c>
      <c r="F112" s="11"/>
      <c r="G112" s="11"/>
    </row>
    <row r="113" spans="1:7" ht="27" x14ac:dyDescent="0.25">
      <c r="A113" s="169"/>
      <c r="B113" s="86" t="s">
        <v>164</v>
      </c>
      <c r="C113" s="68" t="s">
        <v>31</v>
      </c>
      <c r="D113" s="75">
        <f t="shared" ref="D113" si="56">SUM(D114:D115)</f>
        <v>27.900000000000002</v>
      </c>
      <c r="E113" s="75">
        <f t="shared" ref="E113" si="57">SUM(E114:E115)</f>
        <v>27.900000000000002</v>
      </c>
      <c r="F113" s="75">
        <f t="shared" ref="F113" si="58">SUM(F114:F115)</f>
        <v>0</v>
      </c>
      <c r="G113" s="75">
        <f t="shared" ref="G113" si="59">SUM(G114:G115)</f>
        <v>0</v>
      </c>
    </row>
    <row r="114" spans="1:7" ht="12.75" customHeight="1" x14ac:dyDescent="0.25">
      <c r="A114" s="170"/>
      <c r="B114" s="120" t="s">
        <v>16</v>
      </c>
      <c r="C114" s="166"/>
      <c r="D114" s="103">
        <f t="shared" si="50"/>
        <v>23.1</v>
      </c>
      <c r="E114" s="103">
        <f>22.1+1</f>
        <v>23.1</v>
      </c>
      <c r="F114" s="103"/>
      <c r="G114" s="103"/>
    </row>
    <row r="115" spans="1:7" ht="12.75" customHeight="1" x14ac:dyDescent="0.25">
      <c r="A115" s="170"/>
      <c r="B115" s="121" t="s">
        <v>24</v>
      </c>
      <c r="C115" s="167"/>
      <c r="D115" s="103">
        <f t="shared" si="50"/>
        <v>4.8</v>
      </c>
      <c r="E115" s="103">
        <v>4.8</v>
      </c>
      <c r="F115" s="103"/>
      <c r="G115" s="103"/>
    </row>
    <row r="116" spans="1:7" ht="15" customHeight="1" x14ac:dyDescent="0.25">
      <c r="A116" s="169"/>
      <c r="B116" s="122" t="s">
        <v>150</v>
      </c>
      <c r="C116" s="123" t="s">
        <v>33</v>
      </c>
      <c r="D116" s="110">
        <f t="shared" ref="D116" si="60">SUM(D117)</f>
        <v>3.3</v>
      </c>
      <c r="E116" s="110">
        <f t="shared" ref="E116" si="61">SUM(E117)</f>
        <v>3.3</v>
      </c>
      <c r="F116" s="110">
        <f t="shared" ref="F116" si="62">SUM(F117)</f>
        <v>0</v>
      </c>
      <c r="G116" s="110">
        <f>SUM(G117)</f>
        <v>0</v>
      </c>
    </row>
    <row r="117" spans="1:7" ht="12.75" customHeight="1" x14ac:dyDescent="0.25">
      <c r="A117" s="169"/>
      <c r="B117" s="119" t="s">
        <v>16</v>
      </c>
      <c r="C117" s="124"/>
      <c r="D117" s="103">
        <f t="shared" si="50"/>
        <v>3.3</v>
      </c>
      <c r="E117" s="103">
        <v>3.3</v>
      </c>
      <c r="F117" s="113"/>
      <c r="G117" s="103"/>
    </row>
    <row r="118" spans="1:7" ht="18" customHeight="1" x14ac:dyDescent="0.25">
      <c r="A118" s="169" t="s">
        <v>52</v>
      </c>
      <c r="B118" s="87" t="s">
        <v>53</v>
      </c>
      <c r="C118" s="88"/>
      <c r="D118" s="89">
        <f>SUM(G118+E118)</f>
        <v>36.599999999999994</v>
      </c>
      <c r="E118" s="89">
        <f>SUM(E119+E123+E126+E121)</f>
        <v>29.999999999999996</v>
      </c>
      <c r="F118" s="89">
        <f t="shared" ref="F118:G118" si="63">SUM(F119+F123+F126+F121)</f>
        <v>0</v>
      </c>
      <c r="G118" s="89">
        <f t="shared" si="63"/>
        <v>6.6</v>
      </c>
    </row>
    <row r="119" spans="1:7" ht="15" customHeight="1" x14ac:dyDescent="0.25">
      <c r="A119" s="169"/>
      <c r="B119" s="117" t="s">
        <v>155</v>
      </c>
      <c r="C119" s="123" t="s">
        <v>17</v>
      </c>
      <c r="D119" s="111">
        <f>SUM(D120)</f>
        <v>7.2</v>
      </c>
      <c r="E119" s="111">
        <f>SUM(E120)</f>
        <v>7.2</v>
      </c>
      <c r="F119" s="111">
        <f>SUM(F120)</f>
        <v>0</v>
      </c>
      <c r="G119" s="111">
        <f>SUM(G120)</f>
        <v>0</v>
      </c>
    </row>
    <row r="120" spans="1:7" ht="12.95" customHeight="1" x14ac:dyDescent="0.25">
      <c r="A120" s="169"/>
      <c r="B120" s="119" t="s">
        <v>16</v>
      </c>
      <c r="C120" s="125"/>
      <c r="D120" s="103">
        <f t="shared" si="50"/>
        <v>7.2</v>
      </c>
      <c r="E120" s="103">
        <v>7.2</v>
      </c>
      <c r="F120" s="103"/>
      <c r="G120" s="103"/>
    </row>
    <row r="121" spans="1:7" ht="12.95" customHeight="1" x14ac:dyDescent="0.25">
      <c r="A121" s="169"/>
      <c r="B121" s="117" t="s">
        <v>148</v>
      </c>
      <c r="C121" s="118" t="s">
        <v>30</v>
      </c>
      <c r="D121" s="103">
        <f t="shared" si="50"/>
        <v>7</v>
      </c>
      <c r="E121" s="111">
        <f>SUM(E122)</f>
        <v>0.4</v>
      </c>
      <c r="F121" s="111">
        <f t="shared" ref="F121:G121" si="64">SUM(F122)</f>
        <v>0</v>
      </c>
      <c r="G121" s="111">
        <f t="shared" si="64"/>
        <v>6.6</v>
      </c>
    </row>
    <row r="122" spans="1:7" ht="12.95" customHeight="1" x14ac:dyDescent="0.25">
      <c r="A122" s="169"/>
      <c r="B122" s="119" t="s">
        <v>16</v>
      </c>
      <c r="C122" s="118"/>
      <c r="D122" s="103">
        <f t="shared" si="50"/>
        <v>7</v>
      </c>
      <c r="E122" s="103">
        <v>0.4</v>
      </c>
      <c r="F122" s="103"/>
      <c r="G122" s="103">
        <v>6.6</v>
      </c>
    </row>
    <row r="123" spans="1:7" ht="27" x14ac:dyDescent="0.25">
      <c r="A123" s="169"/>
      <c r="B123" s="126" t="s">
        <v>164</v>
      </c>
      <c r="C123" s="123" t="s">
        <v>31</v>
      </c>
      <c r="D123" s="110">
        <f t="shared" ref="D123" si="65">SUM(D124:D125)</f>
        <v>19.7</v>
      </c>
      <c r="E123" s="110">
        <f t="shared" ref="E123" si="66">SUM(E124:E125)</f>
        <v>19.7</v>
      </c>
      <c r="F123" s="110">
        <f t="shared" ref="F123" si="67">SUM(F124:F125)</f>
        <v>0</v>
      </c>
      <c r="G123" s="110">
        <f t="shared" ref="G123" si="68">SUM(G124:G125)</f>
        <v>0</v>
      </c>
    </row>
    <row r="124" spans="1:7" ht="12.95" customHeight="1" x14ac:dyDescent="0.25">
      <c r="A124" s="170"/>
      <c r="B124" s="120" t="s">
        <v>16</v>
      </c>
      <c r="C124" s="166"/>
      <c r="D124" s="103">
        <f t="shared" si="50"/>
        <v>19.3</v>
      </c>
      <c r="E124" s="103">
        <v>19.3</v>
      </c>
      <c r="F124" s="103"/>
      <c r="G124" s="103"/>
    </row>
    <row r="125" spans="1:7" ht="12.95" customHeight="1" x14ac:dyDescent="0.25">
      <c r="A125" s="170"/>
      <c r="B125" s="121" t="s">
        <v>24</v>
      </c>
      <c r="C125" s="168"/>
      <c r="D125" s="103">
        <f t="shared" si="50"/>
        <v>0.4</v>
      </c>
      <c r="E125" s="103">
        <v>0.4</v>
      </c>
      <c r="F125" s="103"/>
      <c r="G125" s="103"/>
    </row>
    <row r="126" spans="1:7" ht="15" customHeight="1" x14ac:dyDescent="0.25">
      <c r="A126" s="169"/>
      <c r="B126" s="122" t="s">
        <v>165</v>
      </c>
      <c r="C126" s="123" t="s">
        <v>33</v>
      </c>
      <c r="D126" s="110">
        <f t="shared" ref="D126" si="69">SUM(D127)</f>
        <v>2.7</v>
      </c>
      <c r="E126" s="110">
        <f t="shared" ref="E126" si="70">SUM(E127)</f>
        <v>2.7</v>
      </c>
      <c r="F126" s="110">
        <f t="shared" ref="F126" si="71">SUM(F127)</f>
        <v>0</v>
      </c>
      <c r="G126" s="110">
        <f>SUM(G127)</f>
        <v>0</v>
      </c>
    </row>
    <row r="127" spans="1:7" ht="12.95" customHeight="1" x14ac:dyDescent="0.25">
      <c r="A127" s="169"/>
      <c r="B127" s="119" t="s">
        <v>16</v>
      </c>
      <c r="C127" s="125"/>
      <c r="D127" s="103">
        <f t="shared" si="50"/>
        <v>2.7</v>
      </c>
      <c r="E127" s="103">
        <v>2.7</v>
      </c>
      <c r="F127" s="113"/>
      <c r="G127" s="114"/>
    </row>
    <row r="128" spans="1:7" ht="18" customHeight="1" x14ac:dyDescent="0.25">
      <c r="A128" s="169" t="s">
        <v>54</v>
      </c>
      <c r="B128" s="87" t="s">
        <v>55</v>
      </c>
      <c r="C128" s="88"/>
      <c r="D128" s="89">
        <f t="shared" si="50"/>
        <v>66.599999999999994</v>
      </c>
      <c r="E128" s="89">
        <f t="shared" ref="E128" si="72">SUM(E129+E131+E134)</f>
        <v>66.599999999999994</v>
      </c>
      <c r="F128" s="89">
        <f t="shared" ref="F128" si="73">SUM(F129+F131+F134)</f>
        <v>0</v>
      </c>
      <c r="G128" s="89">
        <f>SUM(G129+G131+G134)</f>
        <v>0</v>
      </c>
    </row>
    <row r="129" spans="1:7" ht="15" customHeight="1" x14ac:dyDescent="0.25">
      <c r="A129" s="169"/>
      <c r="B129" s="117" t="s">
        <v>155</v>
      </c>
      <c r="C129" s="123" t="s">
        <v>17</v>
      </c>
      <c r="D129" s="111">
        <f>SUM(D130)</f>
        <v>12.3</v>
      </c>
      <c r="E129" s="111">
        <f>SUM(E130)</f>
        <v>12.3</v>
      </c>
      <c r="F129" s="111">
        <f>SUM(F130)</f>
        <v>0</v>
      </c>
      <c r="G129" s="111">
        <f>SUM(G130)</f>
        <v>0</v>
      </c>
    </row>
    <row r="130" spans="1:7" ht="12.75" customHeight="1" x14ac:dyDescent="0.25">
      <c r="A130" s="169"/>
      <c r="B130" s="119" t="s">
        <v>16</v>
      </c>
      <c r="C130" s="125"/>
      <c r="D130" s="103">
        <f t="shared" si="50"/>
        <v>12.3</v>
      </c>
      <c r="E130" s="103">
        <v>12.3</v>
      </c>
      <c r="F130" s="103"/>
      <c r="G130" s="103"/>
    </row>
    <row r="131" spans="1:7" ht="27" x14ac:dyDescent="0.25">
      <c r="A131" s="169"/>
      <c r="B131" s="126" t="s">
        <v>162</v>
      </c>
      <c r="C131" s="123" t="s">
        <v>31</v>
      </c>
      <c r="D131" s="110">
        <f t="shared" ref="D131" si="74">SUM(D132:D133)</f>
        <v>49.199999999999996</v>
      </c>
      <c r="E131" s="110">
        <f t="shared" ref="E131" si="75">SUM(E132:E133)</f>
        <v>49.199999999999996</v>
      </c>
      <c r="F131" s="110">
        <f t="shared" ref="F131" si="76">SUM(F132:F133)</f>
        <v>0</v>
      </c>
      <c r="G131" s="110">
        <f t="shared" ref="G131" si="77">SUM(G132:G133)</f>
        <v>0</v>
      </c>
    </row>
    <row r="132" spans="1:7" ht="12.75" customHeight="1" x14ac:dyDescent="0.25">
      <c r="A132" s="170"/>
      <c r="B132" s="120" t="s">
        <v>16</v>
      </c>
      <c r="C132" s="166"/>
      <c r="D132" s="103">
        <f t="shared" si="50"/>
        <v>45.3</v>
      </c>
      <c r="E132" s="103">
        <f>33.3+12</f>
        <v>45.3</v>
      </c>
      <c r="F132" s="103"/>
      <c r="G132" s="103"/>
    </row>
    <row r="133" spans="1:7" ht="12.75" customHeight="1" x14ac:dyDescent="0.25">
      <c r="A133" s="170"/>
      <c r="B133" s="121" t="s">
        <v>24</v>
      </c>
      <c r="C133" s="167"/>
      <c r="D133" s="103">
        <f t="shared" si="50"/>
        <v>3.9</v>
      </c>
      <c r="E133" s="103">
        <v>3.9</v>
      </c>
      <c r="F133" s="103"/>
      <c r="G133" s="103"/>
    </row>
    <row r="134" spans="1:7" ht="15" customHeight="1" x14ac:dyDescent="0.25">
      <c r="A134" s="169"/>
      <c r="B134" s="122" t="s">
        <v>150</v>
      </c>
      <c r="C134" s="123" t="s">
        <v>33</v>
      </c>
      <c r="D134" s="110">
        <f t="shared" ref="D134" si="78">SUM(D135)</f>
        <v>5.0999999999999996</v>
      </c>
      <c r="E134" s="110">
        <f t="shared" ref="E134" si="79">SUM(E135)</f>
        <v>5.0999999999999996</v>
      </c>
      <c r="F134" s="110">
        <f t="shared" ref="F134" si="80">SUM(F135)</f>
        <v>0</v>
      </c>
      <c r="G134" s="110">
        <f>SUM(G135)</f>
        <v>0</v>
      </c>
    </row>
    <row r="135" spans="1:7" ht="12.75" customHeight="1" x14ac:dyDescent="0.25">
      <c r="A135" s="169"/>
      <c r="B135" s="9" t="s">
        <v>16</v>
      </c>
      <c r="C135" s="21"/>
      <c r="D135" s="11">
        <f t="shared" si="50"/>
        <v>5.0999999999999996</v>
      </c>
      <c r="E135" s="11">
        <v>5.0999999999999996</v>
      </c>
      <c r="F135" s="19"/>
      <c r="G135" s="11"/>
    </row>
    <row r="136" spans="1:7" ht="18" customHeight="1" x14ac:dyDescent="0.25">
      <c r="A136" s="169" t="s">
        <v>56</v>
      </c>
      <c r="B136" s="87" t="s">
        <v>57</v>
      </c>
      <c r="C136" s="88"/>
      <c r="D136" s="89">
        <f t="shared" ref="D136" si="81">SUM(G136+E136)</f>
        <v>29.7</v>
      </c>
      <c r="E136" s="89">
        <f t="shared" ref="E136" si="82">SUM(E137+E139+E142)</f>
        <v>29</v>
      </c>
      <c r="F136" s="89">
        <f t="shared" ref="F136" si="83">SUM(F137+F139+F142)</f>
        <v>0</v>
      </c>
      <c r="G136" s="89">
        <f>SUM(G137+G139+G142)</f>
        <v>0.7</v>
      </c>
    </row>
    <row r="137" spans="1:7" ht="15" customHeight="1" x14ac:dyDescent="0.25">
      <c r="A137" s="169"/>
      <c r="B137" s="69" t="s">
        <v>155</v>
      </c>
      <c r="C137" s="68" t="s">
        <v>17</v>
      </c>
      <c r="D137" s="67">
        <f>SUM(D138)</f>
        <v>8.5</v>
      </c>
      <c r="E137" s="67">
        <f>SUM(E138)</f>
        <v>7.8</v>
      </c>
      <c r="F137" s="67">
        <f>SUM(F138)</f>
        <v>0</v>
      </c>
      <c r="G137" s="67">
        <f>SUM(G138)</f>
        <v>0.7</v>
      </c>
    </row>
    <row r="138" spans="1:7" ht="12.75" customHeight="1" x14ac:dyDescent="0.25">
      <c r="A138" s="169"/>
      <c r="B138" s="9" t="s">
        <v>16</v>
      </c>
      <c r="C138" s="21"/>
      <c r="D138" s="11">
        <f t="shared" si="50"/>
        <v>8.5</v>
      </c>
      <c r="E138" s="11">
        <v>7.8</v>
      </c>
      <c r="F138" s="11"/>
      <c r="G138" s="11">
        <v>0.7</v>
      </c>
    </row>
    <row r="139" spans="1:7" ht="27" x14ac:dyDescent="0.25">
      <c r="A139" s="169"/>
      <c r="B139" s="86" t="s">
        <v>164</v>
      </c>
      <c r="C139" s="68" t="s">
        <v>31</v>
      </c>
      <c r="D139" s="75">
        <f t="shared" ref="D139" si="84">SUM(D140:D141)</f>
        <v>15.2</v>
      </c>
      <c r="E139" s="75">
        <f t="shared" ref="E139" si="85">SUM(E140:E141)</f>
        <v>15.2</v>
      </c>
      <c r="F139" s="75">
        <f t="shared" ref="F139" si="86">SUM(F140:F141)</f>
        <v>0</v>
      </c>
      <c r="G139" s="75">
        <f t="shared" ref="G139" si="87">SUM(G140:G141)</f>
        <v>0</v>
      </c>
    </row>
    <row r="140" spans="1:7" ht="12.75" customHeight="1" x14ac:dyDescent="0.25">
      <c r="A140" s="170"/>
      <c r="B140" s="82" t="s">
        <v>16</v>
      </c>
      <c r="C140" s="156"/>
      <c r="D140" s="11">
        <f t="shared" si="50"/>
        <v>14</v>
      </c>
      <c r="E140" s="11">
        <v>14</v>
      </c>
      <c r="F140" s="11"/>
      <c r="G140" s="11"/>
    </row>
    <row r="141" spans="1:7" ht="12.75" customHeight="1" x14ac:dyDescent="0.25">
      <c r="A141" s="170"/>
      <c r="B141" s="84" t="s">
        <v>24</v>
      </c>
      <c r="C141" s="157"/>
      <c r="D141" s="11">
        <f t="shared" si="50"/>
        <v>1.2</v>
      </c>
      <c r="E141" s="11">
        <v>1.2</v>
      </c>
      <c r="F141" s="11"/>
      <c r="G141" s="11"/>
    </row>
    <row r="142" spans="1:7" ht="15" customHeight="1" x14ac:dyDescent="0.25">
      <c r="A142" s="169"/>
      <c r="B142" s="91" t="s">
        <v>150</v>
      </c>
      <c r="C142" s="68" t="s">
        <v>33</v>
      </c>
      <c r="D142" s="75">
        <f t="shared" ref="D142" si="88">SUM(D143)</f>
        <v>6</v>
      </c>
      <c r="E142" s="75">
        <f t="shared" ref="E142" si="89">SUM(E143)</f>
        <v>6</v>
      </c>
      <c r="F142" s="75">
        <f t="shared" ref="F142" si="90">SUM(F143)</f>
        <v>0</v>
      </c>
      <c r="G142" s="75">
        <f>SUM(G143)</f>
        <v>0</v>
      </c>
    </row>
    <row r="143" spans="1:7" ht="12.75" customHeight="1" x14ac:dyDescent="0.25">
      <c r="A143" s="169"/>
      <c r="B143" s="9" t="s">
        <v>16</v>
      </c>
      <c r="C143" s="21"/>
      <c r="D143" s="11">
        <f t="shared" si="50"/>
        <v>6</v>
      </c>
      <c r="E143" s="11">
        <v>6</v>
      </c>
      <c r="F143" s="19"/>
      <c r="G143" s="18"/>
    </row>
    <row r="144" spans="1:7" ht="18" customHeight="1" x14ac:dyDescent="0.25">
      <c r="A144" s="169" t="s">
        <v>58</v>
      </c>
      <c r="B144" s="87" t="s">
        <v>59</v>
      </c>
      <c r="C144" s="88"/>
      <c r="D144" s="89">
        <f t="shared" si="50"/>
        <v>30.2</v>
      </c>
      <c r="E144" s="89">
        <f t="shared" ref="E144" si="91">SUM(E145+E147+E150)</f>
        <v>30.2</v>
      </c>
      <c r="F144" s="89">
        <f t="shared" ref="F144" si="92">SUM(F145+F147+F150)</f>
        <v>0</v>
      </c>
      <c r="G144" s="89">
        <f>SUM(G145+G147+G150)</f>
        <v>0</v>
      </c>
    </row>
    <row r="145" spans="1:7" ht="15" customHeight="1" x14ac:dyDescent="0.25">
      <c r="A145" s="169"/>
      <c r="B145" s="69" t="s">
        <v>155</v>
      </c>
      <c r="C145" s="68" t="s">
        <v>17</v>
      </c>
      <c r="D145" s="67">
        <f>SUM(D146)</f>
        <v>6.2</v>
      </c>
      <c r="E145" s="67">
        <f>SUM(E146)</f>
        <v>6.2</v>
      </c>
      <c r="F145" s="67">
        <f>SUM(F146)</f>
        <v>0</v>
      </c>
      <c r="G145" s="67">
        <f>SUM(G146)</f>
        <v>0</v>
      </c>
    </row>
    <row r="146" spans="1:7" ht="12.75" customHeight="1" x14ac:dyDescent="0.25">
      <c r="A146" s="169"/>
      <c r="B146" s="9" t="s">
        <v>16</v>
      </c>
      <c r="C146" s="21"/>
      <c r="D146" s="11">
        <f t="shared" si="50"/>
        <v>6.2</v>
      </c>
      <c r="E146" s="103">
        <f>5.7+0.5</f>
        <v>6.2</v>
      </c>
      <c r="F146" s="103"/>
      <c r="G146" s="11"/>
    </row>
    <row r="147" spans="1:7" ht="27" x14ac:dyDescent="0.25">
      <c r="A147" s="169"/>
      <c r="B147" s="86" t="s">
        <v>164</v>
      </c>
      <c r="C147" s="68" t="s">
        <v>31</v>
      </c>
      <c r="D147" s="75">
        <f t="shared" ref="D147" si="93">SUM(D148:D149)</f>
        <v>20.5</v>
      </c>
      <c r="E147" s="110">
        <f t="shared" ref="E147" si="94">SUM(E148:E149)</f>
        <v>20.5</v>
      </c>
      <c r="F147" s="110">
        <f t="shared" ref="F147" si="95">SUM(F148:F149)</f>
        <v>0</v>
      </c>
      <c r="G147" s="75">
        <f t="shared" ref="G147" si="96">SUM(G148:G149)</f>
        <v>0</v>
      </c>
    </row>
    <row r="148" spans="1:7" ht="12.75" customHeight="1" x14ac:dyDescent="0.25">
      <c r="A148" s="170"/>
      <c r="B148" s="82" t="s">
        <v>16</v>
      </c>
      <c r="C148" s="156"/>
      <c r="D148" s="11">
        <f t="shared" si="50"/>
        <v>18.100000000000001</v>
      </c>
      <c r="E148" s="103">
        <f>15.4+2.7</f>
        <v>18.100000000000001</v>
      </c>
      <c r="F148" s="103"/>
      <c r="G148" s="11"/>
    </row>
    <row r="149" spans="1:7" ht="12.75" customHeight="1" x14ac:dyDescent="0.25">
      <c r="A149" s="170"/>
      <c r="B149" s="84" t="s">
        <v>24</v>
      </c>
      <c r="C149" s="158"/>
      <c r="D149" s="11">
        <f t="shared" si="50"/>
        <v>2.4</v>
      </c>
      <c r="E149" s="103">
        <v>2.4</v>
      </c>
      <c r="F149" s="103"/>
      <c r="G149" s="11"/>
    </row>
    <row r="150" spans="1:7" ht="15" customHeight="1" x14ac:dyDescent="0.25">
      <c r="A150" s="169"/>
      <c r="B150" s="91" t="s">
        <v>165</v>
      </c>
      <c r="C150" s="68" t="s">
        <v>33</v>
      </c>
      <c r="D150" s="75">
        <f t="shared" ref="D150" si="97">SUM(D151)</f>
        <v>3.5</v>
      </c>
      <c r="E150" s="110">
        <f t="shared" ref="E150" si="98">SUM(E151)</f>
        <v>3.5</v>
      </c>
      <c r="F150" s="110">
        <f t="shared" ref="F150" si="99">SUM(F151)</f>
        <v>0</v>
      </c>
      <c r="G150" s="75">
        <f>SUM(G151)</f>
        <v>0</v>
      </c>
    </row>
    <row r="151" spans="1:7" ht="12.75" customHeight="1" x14ac:dyDescent="0.25">
      <c r="A151" s="169"/>
      <c r="B151" s="9" t="s">
        <v>16</v>
      </c>
      <c r="C151" s="21"/>
      <c r="D151" s="11">
        <f t="shared" si="50"/>
        <v>3.5</v>
      </c>
      <c r="E151" s="103">
        <v>3.5</v>
      </c>
      <c r="F151" s="113"/>
      <c r="G151" s="18"/>
    </row>
    <row r="152" spans="1:7" ht="18" customHeight="1" x14ac:dyDescent="0.25">
      <c r="A152" s="154" t="s">
        <v>60</v>
      </c>
      <c r="B152" s="87" t="s">
        <v>61</v>
      </c>
      <c r="C152" s="88"/>
      <c r="D152" s="89">
        <f t="shared" ref="D152" si="100">SUM(G152+E152)</f>
        <v>38.200000000000003</v>
      </c>
      <c r="E152" s="115">
        <f>SUM(E153+E157+E160+E155)</f>
        <v>31.3</v>
      </c>
      <c r="F152" s="115">
        <f t="shared" ref="F152:G152" si="101">SUM(F153+F157+F160+F155)</f>
        <v>0</v>
      </c>
      <c r="G152" s="89">
        <f t="shared" si="101"/>
        <v>6.9</v>
      </c>
    </row>
    <row r="153" spans="1:7" ht="15" customHeight="1" x14ac:dyDescent="0.25">
      <c r="A153" s="154"/>
      <c r="B153" s="69" t="s">
        <v>155</v>
      </c>
      <c r="C153" s="68" t="s">
        <v>17</v>
      </c>
      <c r="D153" s="67">
        <f>SUM(D154)</f>
        <v>11.2</v>
      </c>
      <c r="E153" s="111">
        <f>SUM(E154)</f>
        <v>11.2</v>
      </c>
      <c r="F153" s="111">
        <f>SUM(F154)</f>
        <v>0</v>
      </c>
      <c r="G153" s="67">
        <f>SUM(G154)</f>
        <v>0</v>
      </c>
    </row>
    <row r="154" spans="1:7" ht="12.75" customHeight="1" x14ac:dyDescent="0.25">
      <c r="A154" s="154"/>
      <c r="B154" s="9" t="s">
        <v>16</v>
      </c>
      <c r="C154" s="21"/>
      <c r="D154" s="11">
        <f t="shared" si="50"/>
        <v>11.2</v>
      </c>
      <c r="E154" s="103">
        <f>6.6+4.6</f>
        <v>11.2</v>
      </c>
      <c r="F154" s="103"/>
      <c r="G154" s="11"/>
    </row>
    <row r="155" spans="1:7" ht="12.75" customHeight="1" x14ac:dyDescent="0.25">
      <c r="A155" s="154"/>
      <c r="B155" s="69" t="s">
        <v>148</v>
      </c>
      <c r="C155" s="72" t="s">
        <v>30</v>
      </c>
      <c r="D155" s="11">
        <f t="shared" si="50"/>
        <v>6.9</v>
      </c>
      <c r="E155" s="111">
        <f>SUM(E156)</f>
        <v>0</v>
      </c>
      <c r="F155" s="111">
        <f t="shared" ref="F155:G155" si="102">SUM(F156)</f>
        <v>0</v>
      </c>
      <c r="G155" s="67">
        <f t="shared" si="102"/>
        <v>6.9</v>
      </c>
    </row>
    <row r="156" spans="1:7" ht="12.75" customHeight="1" x14ac:dyDescent="0.25">
      <c r="A156" s="154"/>
      <c r="B156" s="64"/>
      <c r="C156" s="102"/>
      <c r="D156" s="11">
        <f t="shared" si="50"/>
        <v>6.9</v>
      </c>
      <c r="E156" s="103"/>
      <c r="F156" s="103"/>
      <c r="G156" s="11">
        <v>6.9</v>
      </c>
    </row>
    <row r="157" spans="1:7" ht="27" x14ac:dyDescent="0.25">
      <c r="A157" s="154"/>
      <c r="B157" s="86" t="s">
        <v>164</v>
      </c>
      <c r="C157" s="105" t="s">
        <v>31</v>
      </c>
      <c r="D157" s="75">
        <f t="shared" ref="D157" si="103">SUM(D158:D159)</f>
        <v>14.3</v>
      </c>
      <c r="E157" s="110">
        <f t="shared" ref="E157" si="104">SUM(E158:E159)</f>
        <v>14.3</v>
      </c>
      <c r="F157" s="110">
        <f t="shared" ref="F157" si="105">SUM(F158:F159)</f>
        <v>0</v>
      </c>
      <c r="G157" s="75">
        <f t="shared" ref="G157" si="106">SUM(G158:G159)</f>
        <v>0</v>
      </c>
    </row>
    <row r="158" spans="1:7" ht="12.75" customHeight="1" x14ac:dyDescent="0.25">
      <c r="A158" s="155"/>
      <c r="B158" s="82" t="s">
        <v>16</v>
      </c>
      <c r="C158" s="156"/>
      <c r="D158" s="11">
        <f t="shared" si="50"/>
        <v>11.4</v>
      </c>
      <c r="E158" s="11">
        <v>11.4</v>
      </c>
      <c r="F158" s="11"/>
      <c r="G158" s="11"/>
    </row>
    <row r="159" spans="1:7" ht="12.75" customHeight="1" x14ac:dyDescent="0.25">
      <c r="A159" s="155"/>
      <c r="B159" s="84" t="s">
        <v>24</v>
      </c>
      <c r="C159" s="157"/>
      <c r="D159" s="11">
        <f t="shared" si="50"/>
        <v>2.9</v>
      </c>
      <c r="E159" s="11">
        <v>2.9</v>
      </c>
      <c r="F159" s="11"/>
      <c r="G159" s="11"/>
    </row>
    <row r="160" spans="1:7" ht="15" customHeight="1" x14ac:dyDescent="0.25">
      <c r="A160" s="154"/>
      <c r="B160" s="91" t="s">
        <v>165</v>
      </c>
      <c r="C160" s="68" t="s">
        <v>33</v>
      </c>
      <c r="D160" s="75">
        <f t="shared" ref="D160" si="107">SUM(D161)</f>
        <v>5.8</v>
      </c>
      <c r="E160" s="75">
        <f t="shared" ref="E160" si="108">SUM(E161)</f>
        <v>5.8</v>
      </c>
      <c r="F160" s="75">
        <f t="shared" ref="F160" si="109">SUM(F161)</f>
        <v>0</v>
      </c>
      <c r="G160" s="75">
        <f>SUM(G161)</f>
        <v>0</v>
      </c>
    </row>
    <row r="161" spans="1:14" ht="12.75" customHeight="1" x14ac:dyDescent="0.25">
      <c r="A161" s="154"/>
      <c r="B161" s="9" t="s">
        <v>16</v>
      </c>
      <c r="C161" s="21"/>
      <c r="D161" s="11">
        <f t="shared" si="50"/>
        <v>5.8</v>
      </c>
      <c r="E161" s="11">
        <v>5.8</v>
      </c>
      <c r="F161" s="19"/>
      <c r="G161" s="11"/>
    </row>
    <row r="162" spans="1:14" ht="18" customHeight="1" x14ac:dyDescent="0.25">
      <c r="A162" s="154" t="s">
        <v>62</v>
      </c>
      <c r="B162" s="87" t="s">
        <v>63</v>
      </c>
      <c r="C162" s="88"/>
      <c r="D162" s="89">
        <f t="shared" si="50"/>
        <v>49.1</v>
      </c>
      <c r="E162" s="89">
        <f t="shared" ref="E162" si="110">SUM(E163+E165+E168)</f>
        <v>47.7</v>
      </c>
      <c r="F162" s="89">
        <f t="shared" ref="F162" si="111">SUM(F163+F165+F168)</f>
        <v>0</v>
      </c>
      <c r="G162" s="89">
        <f>SUM(G163+G165+G168)</f>
        <v>1.4</v>
      </c>
    </row>
    <row r="163" spans="1:14" ht="15" customHeight="1" x14ac:dyDescent="0.25">
      <c r="A163" s="154"/>
      <c r="B163" s="69" t="s">
        <v>155</v>
      </c>
      <c r="C163" s="68" t="s">
        <v>17</v>
      </c>
      <c r="D163" s="67">
        <f>SUM(D164)</f>
        <v>14.9</v>
      </c>
      <c r="E163" s="67">
        <f>SUM(E164)</f>
        <v>14.9</v>
      </c>
      <c r="F163" s="67">
        <f>SUM(F164)</f>
        <v>0</v>
      </c>
      <c r="G163" s="67">
        <f>SUM(G164)</f>
        <v>0</v>
      </c>
    </row>
    <row r="164" spans="1:14" ht="12.75" customHeight="1" x14ac:dyDescent="0.25">
      <c r="A164" s="154"/>
      <c r="B164" s="9" t="s">
        <v>16</v>
      </c>
      <c r="C164" s="21"/>
      <c r="D164" s="11">
        <f t="shared" si="50"/>
        <v>14.9</v>
      </c>
      <c r="E164" s="11">
        <v>14.9</v>
      </c>
      <c r="F164" s="11"/>
      <c r="G164" s="11"/>
    </row>
    <row r="165" spans="1:14" ht="27" x14ac:dyDescent="0.25">
      <c r="A165" s="154"/>
      <c r="B165" s="86" t="s">
        <v>162</v>
      </c>
      <c r="C165" s="68" t="s">
        <v>31</v>
      </c>
      <c r="D165" s="75">
        <f t="shared" ref="D165" si="112">SUM(D166:D167)</f>
        <v>27.7</v>
      </c>
      <c r="E165" s="75">
        <f t="shared" ref="E165" si="113">SUM(E166:E167)</f>
        <v>27.7</v>
      </c>
      <c r="F165" s="75">
        <f t="shared" ref="F165" si="114">SUM(F166:F167)</f>
        <v>0</v>
      </c>
      <c r="G165" s="75">
        <f t="shared" ref="G165" si="115">SUM(G166:G167)</f>
        <v>0</v>
      </c>
    </row>
    <row r="166" spans="1:14" ht="12.75" customHeight="1" x14ac:dyDescent="0.25">
      <c r="A166" s="155"/>
      <c r="B166" s="82" t="s">
        <v>16</v>
      </c>
      <c r="C166" s="156"/>
      <c r="D166" s="11">
        <f t="shared" si="50"/>
        <v>19</v>
      </c>
      <c r="E166" s="11">
        <v>19</v>
      </c>
      <c r="F166" s="11"/>
      <c r="G166" s="11"/>
      <c r="H166" s="22"/>
      <c r="I166" s="23"/>
      <c r="J166" s="24"/>
      <c r="K166" s="25"/>
      <c r="L166" s="25"/>
      <c r="M166" s="25"/>
      <c r="N166" s="25"/>
    </row>
    <row r="167" spans="1:14" ht="12.75" customHeight="1" x14ac:dyDescent="0.25">
      <c r="A167" s="155"/>
      <c r="B167" s="84" t="s">
        <v>24</v>
      </c>
      <c r="C167" s="157"/>
      <c r="D167" s="11">
        <f t="shared" si="50"/>
        <v>8.6999999999999993</v>
      </c>
      <c r="E167" s="11">
        <v>8.6999999999999993</v>
      </c>
      <c r="F167" s="11"/>
      <c r="G167" s="11"/>
      <c r="H167" s="22"/>
      <c r="I167" s="26"/>
      <c r="J167" s="27"/>
      <c r="K167" s="28"/>
      <c r="L167" s="28"/>
      <c r="M167" s="28"/>
      <c r="N167" s="28"/>
    </row>
    <row r="168" spans="1:14" ht="15" customHeight="1" x14ac:dyDescent="0.25">
      <c r="A168" s="154"/>
      <c r="B168" s="91" t="s">
        <v>165</v>
      </c>
      <c r="C168" s="68" t="s">
        <v>33</v>
      </c>
      <c r="D168" s="75">
        <f t="shared" ref="D168" si="116">SUM(D169)</f>
        <v>6.5</v>
      </c>
      <c r="E168" s="75">
        <f t="shared" ref="E168" si="117">SUM(E169)</f>
        <v>5.0999999999999996</v>
      </c>
      <c r="F168" s="75">
        <f t="shared" ref="F168" si="118">SUM(F169)</f>
        <v>0</v>
      </c>
      <c r="G168" s="75">
        <f>SUM(G169)</f>
        <v>1.4</v>
      </c>
      <c r="H168" s="22"/>
      <c r="I168" s="26"/>
      <c r="J168" s="27"/>
      <c r="K168" s="28"/>
      <c r="L168" s="28"/>
      <c r="M168" s="28"/>
      <c r="N168" s="28"/>
    </row>
    <row r="169" spans="1:14" ht="12.75" customHeight="1" x14ac:dyDescent="0.25">
      <c r="A169" s="154"/>
      <c r="B169" s="9" t="s">
        <v>16</v>
      </c>
      <c r="C169" s="21"/>
      <c r="D169" s="11">
        <f t="shared" si="50"/>
        <v>6.5</v>
      </c>
      <c r="E169" s="11">
        <v>5.0999999999999996</v>
      </c>
      <c r="F169" s="19"/>
      <c r="G169" s="20">
        <v>1.4</v>
      </c>
      <c r="H169" s="22"/>
      <c r="I169" s="26"/>
      <c r="J169" s="27"/>
      <c r="K169" s="28"/>
      <c r="L169" s="28"/>
      <c r="M169" s="28"/>
      <c r="N169" s="28"/>
    </row>
    <row r="170" spans="1:14" ht="18" customHeight="1" x14ac:dyDescent="0.25">
      <c r="A170" s="154" t="s">
        <v>64</v>
      </c>
      <c r="B170" s="87" t="s">
        <v>65</v>
      </c>
      <c r="C170" s="94"/>
      <c r="D170" s="89">
        <f t="shared" si="50"/>
        <v>1007.9000000000001</v>
      </c>
      <c r="E170" s="89">
        <f>SUM(E172:E173)</f>
        <v>1007.9000000000001</v>
      </c>
      <c r="F170" s="89">
        <f>SUM(F172:F173)</f>
        <v>929.80000000000007</v>
      </c>
      <c r="G170" s="89">
        <f>SUM(G172:G173)</f>
        <v>0</v>
      </c>
      <c r="H170" s="22"/>
      <c r="I170" s="26"/>
      <c r="J170" s="27"/>
      <c r="K170" s="28"/>
      <c r="L170" s="28"/>
      <c r="M170" s="28"/>
      <c r="N170" s="28"/>
    </row>
    <row r="171" spans="1:14" ht="15" customHeight="1" x14ac:dyDescent="0.25">
      <c r="A171" s="154"/>
      <c r="B171" s="95" t="s">
        <v>155</v>
      </c>
      <c r="C171" s="68" t="s">
        <v>17</v>
      </c>
      <c r="D171" s="67">
        <f t="shared" ref="D171:F171" si="119">SUM(D172:D173)</f>
        <v>1007.9000000000001</v>
      </c>
      <c r="E171" s="67">
        <f t="shared" si="119"/>
        <v>1007.9000000000001</v>
      </c>
      <c r="F171" s="67">
        <f t="shared" si="119"/>
        <v>929.80000000000007</v>
      </c>
      <c r="G171" s="67">
        <f>SUM(G172:G173)</f>
        <v>0</v>
      </c>
      <c r="H171" s="22"/>
      <c r="I171" s="26"/>
      <c r="J171" s="27"/>
      <c r="K171" s="28"/>
      <c r="L171" s="28"/>
      <c r="M171" s="28"/>
      <c r="N171" s="28"/>
    </row>
    <row r="172" spans="1:14" ht="12.75" customHeight="1" x14ac:dyDescent="0.25">
      <c r="A172" s="155"/>
      <c r="B172" s="96" t="s">
        <v>21</v>
      </c>
      <c r="C172" s="156"/>
      <c r="D172" s="11">
        <f t="shared" si="50"/>
        <v>969.80000000000007</v>
      </c>
      <c r="E172" s="11">
        <f>886.6+83.2</f>
        <v>969.80000000000007</v>
      </c>
      <c r="F172" s="11">
        <f>817.2+81.7</f>
        <v>898.90000000000009</v>
      </c>
      <c r="G172" s="11"/>
      <c r="H172" s="22"/>
      <c r="I172" s="26"/>
      <c r="J172" s="27"/>
      <c r="K172" s="28"/>
      <c r="L172" s="28"/>
      <c r="M172" s="28"/>
      <c r="N172" s="28"/>
    </row>
    <row r="173" spans="1:14" ht="12.75" customHeight="1" x14ac:dyDescent="0.25">
      <c r="A173" s="155"/>
      <c r="B173" s="84" t="s">
        <v>16</v>
      </c>
      <c r="C173" s="157"/>
      <c r="D173" s="11">
        <f t="shared" si="50"/>
        <v>38.1</v>
      </c>
      <c r="E173" s="11">
        <v>38.1</v>
      </c>
      <c r="F173" s="11">
        <v>30.9</v>
      </c>
      <c r="G173" s="11"/>
      <c r="H173" s="22"/>
      <c r="I173" s="26"/>
      <c r="J173" s="27"/>
      <c r="K173" s="28"/>
      <c r="L173" s="28"/>
      <c r="M173" s="28"/>
      <c r="N173" s="28"/>
    </row>
    <row r="174" spans="1:14" ht="18" customHeight="1" x14ac:dyDescent="0.25">
      <c r="A174" s="154" t="s">
        <v>66</v>
      </c>
      <c r="B174" s="93" t="s">
        <v>67</v>
      </c>
      <c r="C174" s="88"/>
      <c r="D174" s="89">
        <f t="shared" si="50"/>
        <v>1126.6999999999998</v>
      </c>
      <c r="E174" s="89">
        <f t="shared" ref="E174:F174" si="120">SUM(E175+E177)</f>
        <v>1110.5999999999999</v>
      </c>
      <c r="F174" s="89">
        <f t="shared" si="120"/>
        <v>926.3</v>
      </c>
      <c r="G174" s="89">
        <f>SUM(G175+G177)</f>
        <v>16.100000000000001</v>
      </c>
      <c r="H174" s="22"/>
      <c r="I174" s="26"/>
      <c r="J174" s="27"/>
      <c r="K174" s="28"/>
      <c r="L174" s="28"/>
      <c r="M174" s="28"/>
      <c r="N174" s="28"/>
    </row>
    <row r="175" spans="1:14" ht="15" customHeight="1" x14ac:dyDescent="0.25">
      <c r="A175" s="154"/>
      <c r="B175" s="69" t="s">
        <v>155</v>
      </c>
      <c r="C175" s="68" t="s">
        <v>17</v>
      </c>
      <c r="D175" s="67">
        <f>SUM(D176)</f>
        <v>35</v>
      </c>
      <c r="E175" s="67">
        <f>SUM(E176)</f>
        <v>35</v>
      </c>
      <c r="F175" s="67">
        <f>SUM(F176)</f>
        <v>0</v>
      </c>
      <c r="G175" s="67">
        <f>SUM(G176)</f>
        <v>0</v>
      </c>
      <c r="H175" s="22"/>
      <c r="I175" s="26"/>
      <c r="J175" s="27"/>
      <c r="K175" s="28"/>
      <c r="L175" s="28"/>
      <c r="M175" s="28"/>
      <c r="N175" s="28"/>
    </row>
    <row r="176" spans="1:14" ht="12.75" customHeight="1" x14ac:dyDescent="0.25">
      <c r="A176" s="154"/>
      <c r="B176" s="13" t="s">
        <v>21</v>
      </c>
      <c r="C176" s="21"/>
      <c r="D176" s="11">
        <f t="shared" si="50"/>
        <v>35</v>
      </c>
      <c r="E176" s="11">
        <v>35</v>
      </c>
      <c r="F176" s="11"/>
      <c r="G176" s="29"/>
      <c r="H176" s="22"/>
      <c r="I176" s="26"/>
      <c r="J176" s="27"/>
      <c r="K176" s="28"/>
      <c r="L176" s="28"/>
      <c r="M176" s="28"/>
      <c r="N176" s="28"/>
    </row>
    <row r="177" spans="1:14" ht="30.75" customHeight="1" x14ac:dyDescent="0.25">
      <c r="A177" s="154"/>
      <c r="B177" s="86" t="s">
        <v>161</v>
      </c>
      <c r="C177" s="72" t="s">
        <v>25</v>
      </c>
      <c r="D177" s="75">
        <f>SUM(D178:D182)</f>
        <v>1091.6999999999998</v>
      </c>
      <c r="E177" s="75">
        <f>SUM(E178:E182)</f>
        <v>1075.5999999999999</v>
      </c>
      <c r="F177" s="75">
        <f>SUM(F178:F182)</f>
        <v>926.3</v>
      </c>
      <c r="G177" s="75">
        <f>SUM(G178:G182)</f>
        <v>16.100000000000001</v>
      </c>
      <c r="H177" s="22"/>
      <c r="I177" s="26"/>
      <c r="J177" s="27"/>
      <c r="K177" s="28"/>
      <c r="L177" s="28"/>
      <c r="M177" s="28"/>
      <c r="N177" s="28"/>
    </row>
    <row r="178" spans="1:14" ht="12.75" customHeight="1" x14ac:dyDescent="0.25">
      <c r="A178" s="155"/>
      <c r="B178" s="82" t="s">
        <v>68</v>
      </c>
      <c r="C178" s="156"/>
      <c r="D178" s="11">
        <f t="shared" si="50"/>
        <v>10.399999999999999</v>
      </c>
      <c r="E178" s="103">
        <f>9.2-2</f>
        <v>7.1999999999999993</v>
      </c>
      <c r="F178" s="103">
        <v>0.4</v>
      </c>
      <c r="G178" s="103">
        <f>2+1.2</f>
        <v>3.2</v>
      </c>
      <c r="H178" s="22"/>
      <c r="I178" s="26"/>
      <c r="J178" s="27"/>
      <c r="K178" s="28"/>
      <c r="L178" s="28"/>
      <c r="M178" s="28"/>
      <c r="N178" s="28"/>
    </row>
    <row r="179" spans="1:14" ht="12.75" customHeight="1" x14ac:dyDescent="0.25">
      <c r="A179" s="155"/>
      <c r="B179" s="83" t="s">
        <v>28</v>
      </c>
      <c r="C179" s="157"/>
      <c r="D179" s="11">
        <f t="shared" si="50"/>
        <v>663.3</v>
      </c>
      <c r="E179" s="103">
        <v>663.3</v>
      </c>
      <c r="F179" s="103">
        <v>643.4</v>
      </c>
      <c r="G179" s="127"/>
      <c r="H179" s="22"/>
      <c r="I179" s="26"/>
      <c r="J179" s="27"/>
      <c r="K179" s="28"/>
      <c r="L179" s="28"/>
      <c r="M179" s="28"/>
      <c r="N179" s="28"/>
    </row>
    <row r="180" spans="1:14" ht="12.75" customHeight="1" x14ac:dyDescent="0.25">
      <c r="A180" s="155"/>
      <c r="B180" s="83" t="s">
        <v>22</v>
      </c>
      <c r="C180" s="157"/>
      <c r="D180" s="11">
        <f t="shared" si="50"/>
        <v>1.8</v>
      </c>
      <c r="E180" s="103">
        <v>1.8</v>
      </c>
      <c r="F180" s="103">
        <v>1.8</v>
      </c>
      <c r="G180" s="127"/>
      <c r="H180" s="22"/>
      <c r="I180" s="26"/>
      <c r="J180" s="27"/>
      <c r="K180" s="28"/>
      <c r="L180" s="28"/>
      <c r="M180" s="28"/>
      <c r="N180" s="28"/>
    </row>
    <row r="181" spans="1:14" ht="12.75" customHeight="1" x14ac:dyDescent="0.25">
      <c r="A181" s="155"/>
      <c r="B181" s="83" t="s">
        <v>16</v>
      </c>
      <c r="C181" s="157"/>
      <c r="D181" s="11">
        <f t="shared" si="50"/>
        <v>413.7</v>
      </c>
      <c r="E181" s="103">
        <f>406.5+2.7-8.4</f>
        <v>400.8</v>
      </c>
      <c r="F181" s="103">
        <v>280.7</v>
      </c>
      <c r="G181" s="103">
        <f>4.5+8.4</f>
        <v>12.9</v>
      </c>
      <c r="H181" s="22"/>
      <c r="I181" s="23"/>
      <c r="K181" s="25"/>
      <c r="L181" s="25"/>
      <c r="M181" s="25"/>
      <c r="N181" s="25"/>
    </row>
    <row r="182" spans="1:14" ht="12.75" customHeight="1" x14ac:dyDescent="0.25">
      <c r="A182" s="155"/>
      <c r="B182" s="84" t="s">
        <v>24</v>
      </c>
      <c r="C182" s="158"/>
      <c r="D182" s="11">
        <f t="shared" si="50"/>
        <v>2.5</v>
      </c>
      <c r="E182" s="103">
        <v>2.5</v>
      </c>
      <c r="F182" s="112"/>
      <c r="G182" s="112"/>
      <c r="H182" s="22"/>
      <c r="I182" s="26"/>
      <c r="J182" s="27"/>
      <c r="K182" s="28"/>
      <c r="L182" s="28"/>
      <c r="M182" s="28"/>
      <c r="N182" s="28"/>
    </row>
    <row r="183" spans="1:14" ht="18" customHeight="1" x14ac:dyDescent="0.25">
      <c r="A183" s="154" t="s">
        <v>69</v>
      </c>
      <c r="B183" s="93" t="s">
        <v>70</v>
      </c>
      <c r="C183" s="88"/>
      <c r="D183" s="89">
        <f t="shared" ref="D183" si="121">SUM(G183+E183)</f>
        <v>697.40000000000009</v>
      </c>
      <c r="E183" s="115">
        <f t="shared" ref="E183" si="122">SUM(E184+E186)</f>
        <v>694.40000000000009</v>
      </c>
      <c r="F183" s="115">
        <f t="shared" ref="F183" si="123">SUM(F184+F186)</f>
        <v>561.6</v>
      </c>
      <c r="G183" s="115">
        <f>SUM(G184+G186)</f>
        <v>3</v>
      </c>
      <c r="H183" s="22"/>
      <c r="I183" s="26"/>
      <c r="J183" s="30"/>
      <c r="K183" s="31"/>
      <c r="L183" s="32"/>
      <c r="M183" s="32"/>
      <c r="N183" s="28"/>
    </row>
    <row r="184" spans="1:14" ht="15" customHeight="1" x14ac:dyDescent="0.25">
      <c r="A184" s="154"/>
      <c r="B184" s="69" t="s">
        <v>155</v>
      </c>
      <c r="C184" s="68" t="s">
        <v>17</v>
      </c>
      <c r="D184" s="67">
        <f>SUM(D185)</f>
        <v>18</v>
      </c>
      <c r="E184" s="111">
        <f>SUM(E185)</f>
        <v>18</v>
      </c>
      <c r="F184" s="111">
        <f>SUM(F185)</f>
        <v>0</v>
      </c>
      <c r="G184" s="111">
        <f>SUM(G185)</f>
        <v>0</v>
      </c>
      <c r="H184" s="22"/>
      <c r="I184" s="26"/>
      <c r="J184" s="30"/>
      <c r="K184" s="31"/>
      <c r="L184" s="32"/>
      <c r="M184" s="32"/>
      <c r="N184" s="28"/>
    </row>
    <row r="185" spans="1:14" ht="12.75" customHeight="1" x14ac:dyDescent="0.25">
      <c r="A185" s="154"/>
      <c r="B185" s="13" t="s">
        <v>21</v>
      </c>
      <c r="C185" s="21"/>
      <c r="D185" s="11">
        <f t="shared" si="50"/>
        <v>18</v>
      </c>
      <c r="E185" s="103">
        <v>18</v>
      </c>
      <c r="F185" s="103"/>
      <c r="G185" s="127"/>
      <c r="H185" s="22"/>
      <c r="I185" s="26"/>
      <c r="J185" s="30"/>
      <c r="K185" s="31"/>
      <c r="L185" s="33"/>
      <c r="M185" s="33"/>
      <c r="N185" s="28"/>
    </row>
    <row r="186" spans="1:14" ht="30.75" customHeight="1" x14ac:dyDescent="0.25">
      <c r="A186" s="154"/>
      <c r="B186" s="86" t="s">
        <v>166</v>
      </c>
      <c r="C186" s="72" t="s">
        <v>25</v>
      </c>
      <c r="D186" s="75">
        <f t="shared" ref="D186:F186" si="124">SUM(D187:D190)</f>
        <v>679.40000000000009</v>
      </c>
      <c r="E186" s="110">
        <f t="shared" si="124"/>
        <v>676.40000000000009</v>
      </c>
      <c r="F186" s="110">
        <f t="shared" si="124"/>
        <v>561.6</v>
      </c>
      <c r="G186" s="110">
        <f>SUM(G187:G190)</f>
        <v>3</v>
      </c>
      <c r="H186" s="22"/>
      <c r="I186" s="26"/>
      <c r="J186" s="30"/>
      <c r="K186" s="31"/>
      <c r="L186" s="33"/>
      <c r="M186" s="33"/>
      <c r="N186" s="28"/>
    </row>
    <row r="187" spans="1:14" ht="12.75" customHeight="1" x14ac:dyDescent="0.25">
      <c r="A187" s="155"/>
      <c r="B187" s="82" t="s">
        <v>68</v>
      </c>
      <c r="C187" s="156"/>
      <c r="D187" s="11">
        <f t="shared" si="50"/>
        <v>4.8</v>
      </c>
      <c r="E187" s="103">
        <v>4.8</v>
      </c>
      <c r="F187" s="103"/>
      <c r="G187" s="127"/>
      <c r="H187" s="22"/>
      <c r="I187" s="26"/>
      <c r="J187" s="30"/>
      <c r="K187" s="31"/>
      <c r="L187" s="33"/>
      <c r="M187" s="33"/>
      <c r="N187" s="28"/>
    </row>
    <row r="188" spans="1:14" ht="12.75" customHeight="1" x14ac:dyDescent="0.25">
      <c r="A188" s="155"/>
      <c r="B188" s="83" t="s">
        <v>28</v>
      </c>
      <c r="C188" s="157"/>
      <c r="D188" s="11">
        <f t="shared" si="50"/>
        <v>368.1</v>
      </c>
      <c r="E188" s="103">
        <v>368.1</v>
      </c>
      <c r="F188" s="103">
        <v>357.6</v>
      </c>
      <c r="G188" s="127"/>
      <c r="H188" s="22"/>
      <c r="I188" s="26"/>
      <c r="J188" s="30"/>
      <c r="K188" s="31"/>
      <c r="L188" s="33"/>
      <c r="M188" s="33"/>
      <c r="N188" s="28"/>
    </row>
    <row r="189" spans="1:14" ht="12.75" customHeight="1" x14ac:dyDescent="0.25">
      <c r="A189" s="155"/>
      <c r="B189" s="83" t="s">
        <v>16</v>
      </c>
      <c r="C189" s="157"/>
      <c r="D189" s="11">
        <f t="shared" si="50"/>
        <v>306</v>
      </c>
      <c r="E189" s="103">
        <v>303</v>
      </c>
      <c r="F189" s="103">
        <v>204</v>
      </c>
      <c r="G189" s="103">
        <v>3</v>
      </c>
      <c r="H189" s="22"/>
      <c r="I189" s="26"/>
      <c r="J189" s="30"/>
      <c r="K189" s="31"/>
      <c r="L189" s="32"/>
      <c r="M189" s="32"/>
      <c r="N189" s="28"/>
    </row>
    <row r="190" spans="1:14" ht="12.75" customHeight="1" x14ac:dyDescent="0.25">
      <c r="A190" s="155"/>
      <c r="B190" s="84" t="s">
        <v>24</v>
      </c>
      <c r="C190" s="158"/>
      <c r="D190" s="11">
        <f t="shared" si="50"/>
        <v>0.5</v>
      </c>
      <c r="E190" s="103">
        <v>0.5</v>
      </c>
      <c r="F190" s="103"/>
      <c r="G190" s="112"/>
      <c r="H190" s="22"/>
      <c r="I190" s="26"/>
      <c r="J190" s="30"/>
      <c r="K190" s="31"/>
      <c r="L190" s="32"/>
      <c r="M190" s="32"/>
      <c r="N190" s="28"/>
    </row>
    <row r="191" spans="1:14" ht="18" customHeight="1" x14ac:dyDescent="0.25">
      <c r="A191" s="159" t="s">
        <v>71</v>
      </c>
      <c r="B191" s="93" t="s">
        <v>72</v>
      </c>
      <c r="C191" s="94"/>
      <c r="D191" s="89">
        <f t="shared" si="50"/>
        <v>1032.8000000000002</v>
      </c>
      <c r="E191" s="115">
        <f t="shared" ref="E191" si="125">SUM(E192+E194)</f>
        <v>1029.8000000000002</v>
      </c>
      <c r="F191" s="115">
        <f t="shared" ref="F191" si="126">SUM(F192+F194)</f>
        <v>825</v>
      </c>
      <c r="G191" s="115">
        <f>SUM(G192+G194)</f>
        <v>3</v>
      </c>
      <c r="H191" s="22"/>
      <c r="I191" s="26"/>
      <c r="J191" s="30"/>
      <c r="K191" s="31"/>
      <c r="L191" s="32"/>
      <c r="M191" s="32"/>
      <c r="N191" s="28"/>
    </row>
    <row r="192" spans="1:14" ht="15" customHeight="1" x14ac:dyDescent="0.25">
      <c r="A192" s="163"/>
      <c r="B192" s="69" t="s">
        <v>155</v>
      </c>
      <c r="C192" s="68" t="s">
        <v>17</v>
      </c>
      <c r="D192" s="67">
        <f>SUM(D193)</f>
        <v>32</v>
      </c>
      <c r="E192" s="111">
        <f>SUM(E193)</f>
        <v>32</v>
      </c>
      <c r="F192" s="111">
        <f>SUM(F193)</f>
        <v>0</v>
      </c>
      <c r="G192" s="111">
        <f>SUM(G193)</f>
        <v>0</v>
      </c>
      <c r="H192" s="22"/>
      <c r="I192" s="26"/>
      <c r="J192" s="30"/>
      <c r="K192" s="31"/>
      <c r="L192" s="32"/>
      <c r="M192" s="32"/>
      <c r="N192" s="28"/>
    </row>
    <row r="193" spans="1:14" ht="12.75" customHeight="1" x14ac:dyDescent="0.25">
      <c r="A193" s="163"/>
      <c r="B193" s="13" t="s">
        <v>21</v>
      </c>
      <c r="C193" s="21"/>
      <c r="D193" s="11">
        <f t="shared" si="50"/>
        <v>32</v>
      </c>
      <c r="E193" s="103">
        <v>32</v>
      </c>
      <c r="F193" s="103"/>
      <c r="G193" s="128"/>
      <c r="H193" s="32"/>
      <c r="I193" s="35"/>
      <c r="J193" s="30"/>
      <c r="K193" s="31"/>
      <c r="L193" s="32"/>
      <c r="M193" s="32"/>
      <c r="N193" s="32"/>
    </row>
    <row r="194" spans="1:14" ht="30.75" customHeight="1" x14ac:dyDescent="0.25">
      <c r="A194" s="163"/>
      <c r="B194" s="86" t="s">
        <v>161</v>
      </c>
      <c r="C194" s="72" t="s">
        <v>25</v>
      </c>
      <c r="D194" s="75">
        <f t="shared" ref="D194:F194" si="127">SUM(D195:D200)</f>
        <v>1000.8000000000001</v>
      </c>
      <c r="E194" s="110">
        <f t="shared" si="127"/>
        <v>997.80000000000007</v>
      </c>
      <c r="F194" s="110">
        <f t="shared" si="127"/>
        <v>825</v>
      </c>
      <c r="G194" s="110">
        <f>SUM(G195:G200)</f>
        <v>3</v>
      </c>
      <c r="H194" s="32"/>
      <c r="I194" s="35"/>
      <c r="J194" s="30"/>
      <c r="K194" s="31"/>
      <c r="L194" s="32"/>
      <c r="M194" s="32"/>
      <c r="N194" s="32"/>
    </row>
    <row r="195" spans="1:14" ht="12.75" customHeight="1" x14ac:dyDescent="0.25">
      <c r="A195" s="161"/>
      <c r="B195" s="82" t="s">
        <v>68</v>
      </c>
      <c r="C195" s="156"/>
      <c r="D195" s="11">
        <f t="shared" si="50"/>
        <v>7.3</v>
      </c>
      <c r="E195" s="103">
        <v>7.3</v>
      </c>
      <c r="F195" s="103">
        <v>0.3</v>
      </c>
      <c r="G195" s="128"/>
      <c r="H195" s="32"/>
      <c r="I195" s="35"/>
      <c r="J195" s="30"/>
      <c r="K195" s="31"/>
      <c r="L195" s="32"/>
      <c r="M195" s="32"/>
      <c r="N195" s="32"/>
    </row>
    <row r="196" spans="1:14" ht="12.75" customHeight="1" x14ac:dyDescent="0.25">
      <c r="A196" s="161"/>
      <c r="B196" s="83" t="s">
        <v>73</v>
      </c>
      <c r="C196" s="157"/>
      <c r="D196" s="11">
        <f t="shared" si="50"/>
        <v>7.2</v>
      </c>
      <c r="E196" s="103">
        <v>7.2</v>
      </c>
      <c r="F196" s="103">
        <v>7.1</v>
      </c>
      <c r="G196" s="128"/>
      <c r="H196" s="32"/>
      <c r="I196" s="35"/>
      <c r="J196" s="30"/>
      <c r="K196" s="31"/>
      <c r="L196" s="32"/>
      <c r="M196" s="32"/>
      <c r="N196" s="32"/>
    </row>
    <row r="197" spans="1:14" ht="12.75" customHeight="1" x14ac:dyDescent="0.25">
      <c r="A197" s="161"/>
      <c r="B197" s="83" t="s">
        <v>28</v>
      </c>
      <c r="C197" s="157"/>
      <c r="D197" s="11">
        <f t="shared" si="50"/>
        <v>546</v>
      </c>
      <c r="E197" s="103">
        <v>546</v>
      </c>
      <c r="F197" s="103">
        <v>529.20000000000005</v>
      </c>
      <c r="G197" s="128"/>
      <c r="H197" s="32"/>
      <c r="I197" s="35"/>
      <c r="J197" s="30"/>
      <c r="K197" s="31"/>
      <c r="L197" s="32"/>
      <c r="M197" s="32"/>
      <c r="N197" s="32"/>
    </row>
    <row r="198" spans="1:14" ht="12.75" customHeight="1" x14ac:dyDescent="0.25">
      <c r="A198" s="161"/>
      <c r="B198" s="83" t="s">
        <v>22</v>
      </c>
      <c r="C198" s="157"/>
      <c r="D198" s="11">
        <f t="shared" si="50"/>
        <v>1.7</v>
      </c>
      <c r="E198" s="103">
        <v>1.7</v>
      </c>
      <c r="F198" s="103">
        <v>1.7</v>
      </c>
      <c r="G198" s="128"/>
      <c r="H198" s="32"/>
      <c r="I198" s="35"/>
      <c r="J198" s="30"/>
      <c r="K198" s="31"/>
      <c r="L198" s="32"/>
      <c r="M198" s="32"/>
      <c r="N198" s="32"/>
    </row>
    <row r="199" spans="1:14" ht="12.75" customHeight="1" x14ac:dyDescent="0.25">
      <c r="A199" s="161"/>
      <c r="B199" s="83" t="s">
        <v>16</v>
      </c>
      <c r="C199" s="157"/>
      <c r="D199" s="11">
        <f t="shared" si="50"/>
        <v>422.2</v>
      </c>
      <c r="E199" s="103">
        <v>419.2</v>
      </c>
      <c r="F199" s="103">
        <v>286.7</v>
      </c>
      <c r="G199" s="103">
        <v>3</v>
      </c>
      <c r="J199" s="30"/>
      <c r="K199" s="31"/>
      <c r="L199" s="32"/>
      <c r="M199" s="32"/>
    </row>
    <row r="200" spans="1:14" ht="12.75" customHeight="1" x14ac:dyDescent="0.25">
      <c r="A200" s="161"/>
      <c r="B200" s="84" t="s">
        <v>24</v>
      </c>
      <c r="C200" s="158"/>
      <c r="D200" s="11">
        <f t="shared" si="50"/>
        <v>16.399999999999999</v>
      </c>
      <c r="E200" s="103">
        <v>16.399999999999999</v>
      </c>
      <c r="F200" s="112"/>
      <c r="G200" s="112"/>
      <c r="J200" s="30"/>
      <c r="K200" s="31"/>
      <c r="L200" s="32"/>
      <c r="M200" s="32"/>
    </row>
    <row r="201" spans="1:14" ht="18" customHeight="1" x14ac:dyDescent="0.25">
      <c r="A201" s="159" t="s">
        <v>74</v>
      </c>
      <c r="B201" s="93" t="s">
        <v>75</v>
      </c>
      <c r="C201" s="90"/>
      <c r="D201" s="89">
        <f t="shared" ref="D201" si="128">SUM(G201+E201)</f>
        <v>1077.2</v>
      </c>
      <c r="E201" s="89">
        <f t="shared" ref="E201" si="129">SUM(E202+E204)</f>
        <v>1074.2</v>
      </c>
      <c r="F201" s="89">
        <f t="shared" ref="F201" si="130">SUM(F202+F204)</f>
        <v>906.90000000000009</v>
      </c>
      <c r="G201" s="89">
        <f>SUM(G202+G204)</f>
        <v>3</v>
      </c>
      <c r="J201" s="30"/>
      <c r="K201" s="31"/>
      <c r="L201" s="33"/>
      <c r="M201" s="33"/>
    </row>
    <row r="202" spans="1:14" ht="15" customHeight="1" x14ac:dyDescent="0.25">
      <c r="A202" s="159"/>
      <c r="B202" s="69" t="s">
        <v>155</v>
      </c>
      <c r="C202" s="68" t="s">
        <v>17</v>
      </c>
      <c r="D202" s="67">
        <f>SUM(D203)</f>
        <v>21</v>
      </c>
      <c r="E202" s="67">
        <f>SUM(E203)</f>
        <v>21</v>
      </c>
      <c r="F202" s="67">
        <f>SUM(F203)</f>
        <v>0</v>
      </c>
      <c r="G202" s="67">
        <f>SUM(G203)</f>
        <v>0</v>
      </c>
      <c r="J202" s="30"/>
      <c r="K202" s="31"/>
      <c r="L202" s="33"/>
      <c r="M202" s="33"/>
    </row>
    <row r="203" spans="1:14" ht="12.75" customHeight="1" x14ac:dyDescent="0.25">
      <c r="A203" s="159"/>
      <c r="B203" s="13" t="s">
        <v>21</v>
      </c>
      <c r="C203" s="10"/>
      <c r="D203" s="11">
        <f t="shared" si="50"/>
        <v>21</v>
      </c>
      <c r="E203" s="11">
        <v>21</v>
      </c>
      <c r="F203" s="11"/>
      <c r="G203" s="29"/>
      <c r="J203" s="30"/>
      <c r="K203" s="31"/>
      <c r="L203" s="33"/>
      <c r="M203" s="33"/>
    </row>
    <row r="204" spans="1:14" ht="30.75" customHeight="1" x14ac:dyDescent="0.25">
      <c r="A204" s="159"/>
      <c r="B204" s="86" t="s">
        <v>161</v>
      </c>
      <c r="C204" s="72" t="s">
        <v>25</v>
      </c>
      <c r="D204" s="75">
        <f t="shared" ref="D204" si="131">SUM(D205:D210)</f>
        <v>1056.2</v>
      </c>
      <c r="E204" s="75">
        <f t="shared" ref="E204" si="132">SUM(E205:E210)</f>
        <v>1053.2</v>
      </c>
      <c r="F204" s="75">
        <f t="shared" ref="F204" si="133">SUM(F205:F210)</f>
        <v>906.90000000000009</v>
      </c>
      <c r="G204" s="75">
        <f>SUM(G205:G210)</f>
        <v>3</v>
      </c>
      <c r="J204" s="30"/>
      <c r="K204" s="31"/>
      <c r="L204" s="33"/>
      <c r="M204" s="33"/>
    </row>
    <row r="205" spans="1:14" ht="12.75" customHeight="1" x14ac:dyDescent="0.25">
      <c r="A205" s="160"/>
      <c r="B205" s="120" t="s">
        <v>68</v>
      </c>
      <c r="C205" s="166"/>
      <c r="D205" s="103">
        <f t="shared" si="50"/>
        <v>6.3</v>
      </c>
      <c r="E205" s="103">
        <v>6.3</v>
      </c>
      <c r="F205" s="103">
        <v>0.3</v>
      </c>
      <c r="G205" s="103"/>
      <c r="J205" s="30"/>
      <c r="K205" s="31"/>
      <c r="L205" s="33"/>
      <c r="M205" s="33"/>
    </row>
    <row r="206" spans="1:14" ht="12.75" customHeight="1" x14ac:dyDescent="0.25">
      <c r="A206" s="160"/>
      <c r="B206" s="129" t="s">
        <v>73</v>
      </c>
      <c r="C206" s="167"/>
      <c r="D206" s="103">
        <f t="shared" si="50"/>
        <v>7.2</v>
      </c>
      <c r="E206" s="103">
        <v>7.2</v>
      </c>
      <c r="F206" s="103">
        <v>7.1</v>
      </c>
      <c r="G206" s="103"/>
      <c r="J206" s="30"/>
      <c r="K206" s="31"/>
      <c r="L206" s="33"/>
      <c r="M206" s="33"/>
    </row>
    <row r="207" spans="1:14" ht="12.75" customHeight="1" x14ac:dyDescent="0.25">
      <c r="A207" s="160"/>
      <c r="B207" s="129" t="s">
        <v>28</v>
      </c>
      <c r="C207" s="167"/>
      <c r="D207" s="103">
        <f t="shared" si="50"/>
        <v>519.20000000000005</v>
      </c>
      <c r="E207" s="103">
        <v>519.20000000000005</v>
      </c>
      <c r="F207" s="103">
        <v>504.3</v>
      </c>
      <c r="G207" s="112"/>
      <c r="J207" s="30"/>
      <c r="K207" s="31"/>
      <c r="L207" s="33"/>
      <c r="M207" s="33"/>
    </row>
    <row r="208" spans="1:14" ht="12.75" customHeight="1" x14ac:dyDescent="0.25">
      <c r="A208" s="160"/>
      <c r="B208" s="129" t="s">
        <v>22</v>
      </c>
      <c r="C208" s="167"/>
      <c r="D208" s="103">
        <f t="shared" si="50"/>
        <v>1.5</v>
      </c>
      <c r="E208" s="103">
        <v>1.5</v>
      </c>
      <c r="F208" s="103">
        <v>1.5</v>
      </c>
      <c r="G208" s="112"/>
      <c r="J208" s="30"/>
      <c r="K208" s="31"/>
      <c r="L208" s="33"/>
      <c r="M208" s="33"/>
    </row>
    <row r="209" spans="1:13" ht="12.75" customHeight="1" x14ac:dyDescent="0.25">
      <c r="A209" s="160"/>
      <c r="B209" s="129" t="s">
        <v>16</v>
      </c>
      <c r="C209" s="167"/>
      <c r="D209" s="103">
        <f t="shared" si="50"/>
        <v>508.7</v>
      </c>
      <c r="E209" s="103">
        <f>501.2+4.5</f>
        <v>505.7</v>
      </c>
      <c r="F209" s="103">
        <v>393.7</v>
      </c>
      <c r="G209" s="103">
        <v>3</v>
      </c>
      <c r="J209" s="30"/>
      <c r="K209" s="31"/>
      <c r="L209" s="33"/>
      <c r="M209" s="33"/>
    </row>
    <row r="210" spans="1:13" ht="12.75" customHeight="1" x14ac:dyDescent="0.25">
      <c r="A210" s="160"/>
      <c r="B210" s="121" t="s">
        <v>24</v>
      </c>
      <c r="C210" s="168"/>
      <c r="D210" s="103">
        <f t="shared" si="50"/>
        <v>13.3</v>
      </c>
      <c r="E210" s="103">
        <v>13.3</v>
      </c>
      <c r="F210" s="112"/>
      <c r="G210" s="103"/>
      <c r="J210" s="30"/>
      <c r="K210" s="31"/>
      <c r="L210" s="33"/>
      <c r="M210" s="33"/>
    </row>
    <row r="211" spans="1:13" ht="18" customHeight="1" x14ac:dyDescent="0.25">
      <c r="A211" s="154" t="s">
        <v>76</v>
      </c>
      <c r="B211" s="93" t="s">
        <v>77</v>
      </c>
      <c r="C211" s="90"/>
      <c r="D211" s="89">
        <f>SUM(G211+E211)</f>
        <v>1329.3000000000002</v>
      </c>
      <c r="E211" s="89">
        <f>SUM(E212+E214+E221)</f>
        <v>1324.8000000000002</v>
      </c>
      <c r="F211" s="89">
        <f t="shared" ref="F211:G211" si="134">SUM(F212+F214+F221)</f>
        <v>1082</v>
      </c>
      <c r="G211" s="89">
        <f t="shared" si="134"/>
        <v>4.5</v>
      </c>
      <c r="J211" s="30"/>
      <c r="K211" s="31"/>
      <c r="L211" s="33"/>
      <c r="M211" s="33"/>
    </row>
    <row r="212" spans="1:13" ht="15" customHeight="1" x14ac:dyDescent="0.25">
      <c r="A212" s="154"/>
      <c r="B212" s="117" t="s">
        <v>155</v>
      </c>
      <c r="C212" s="123" t="s">
        <v>17</v>
      </c>
      <c r="D212" s="111">
        <f>SUM(D213)</f>
        <v>46</v>
      </c>
      <c r="E212" s="111">
        <f>SUM(E213)</f>
        <v>46</v>
      </c>
      <c r="F212" s="111">
        <f>SUM(F213)</f>
        <v>0</v>
      </c>
      <c r="G212" s="111">
        <f>SUM(G213)</f>
        <v>0</v>
      </c>
      <c r="J212" s="30"/>
      <c r="K212" s="31"/>
      <c r="L212" s="33"/>
      <c r="M212" s="33"/>
    </row>
    <row r="213" spans="1:13" ht="12.75" customHeight="1" x14ac:dyDescent="0.25">
      <c r="A213" s="154"/>
      <c r="B213" s="130" t="s">
        <v>21</v>
      </c>
      <c r="C213" s="124"/>
      <c r="D213" s="103">
        <f t="shared" si="50"/>
        <v>46</v>
      </c>
      <c r="E213" s="103">
        <v>46</v>
      </c>
      <c r="F213" s="103"/>
      <c r="G213" s="128"/>
      <c r="J213" s="30"/>
      <c r="K213" s="31"/>
      <c r="L213" s="33"/>
      <c r="M213" s="33"/>
    </row>
    <row r="214" spans="1:13" ht="30.75" customHeight="1" x14ac:dyDescent="0.25">
      <c r="A214" s="154"/>
      <c r="B214" s="126" t="s">
        <v>161</v>
      </c>
      <c r="C214" s="131" t="s">
        <v>25</v>
      </c>
      <c r="D214" s="110">
        <f>SUM(D215:D220)</f>
        <v>1282.1000000000001</v>
      </c>
      <c r="E214" s="110">
        <f>SUM(E215:E220)</f>
        <v>1277.6000000000001</v>
      </c>
      <c r="F214" s="110">
        <f>SUM(F215:F220)</f>
        <v>1082</v>
      </c>
      <c r="G214" s="110">
        <f>SUM(G215:G220)</f>
        <v>4.5</v>
      </c>
      <c r="J214" s="30"/>
      <c r="K214" s="31"/>
      <c r="L214" s="33"/>
      <c r="M214" s="33"/>
    </row>
    <row r="215" spans="1:13" ht="12.75" customHeight="1" x14ac:dyDescent="0.25">
      <c r="A215" s="155"/>
      <c r="B215" s="120" t="s">
        <v>68</v>
      </c>
      <c r="C215" s="166"/>
      <c r="D215" s="103">
        <f t="shared" ref="D215:D225" si="135">SUM(G215+E215)</f>
        <v>11.2</v>
      </c>
      <c r="E215" s="103">
        <v>11.2</v>
      </c>
      <c r="F215" s="103">
        <v>0.4</v>
      </c>
      <c r="G215" s="112"/>
      <c r="J215" s="30"/>
      <c r="K215" s="31"/>
      <c r="L215" s="33"/>
      <c r="M215" s="33"/>
    </row>
    <row r="216" spans="1:13" ht="12.75" customHeight="1" x14ac:dyDescent="0.25">
      <c r="A216" s="155"/>
      <c r="B216" s="129" t="s">
        <v>73</v>
      </c>
      <c r="C216" s="167"/>
      <c r="D216" s="103">
        <f t="shared" si="135"/>
        <v>0</v>
      </c>
      <c r="E216" s="103"/>
      <c r="F216" s="103"/>
      <c r="G216" s="112"/>
      <c r="J216" s="30"/>
      <c r="K216" s="31"/>
      <c r="L216" s="33"/>
      <c r="M216" s="33"/>
    </row>
    <row r="217" spans="1:13" ht="12.75" customHeight="1" x14ac:dyDescent="0.25">
      <c r="A217" s="155"/>
      <c r="B217" s="129" t="s">
        <v>28</v>
      </c>
      <c r="C217" s="167"/>
      <c r="D217" s="103">
        <f t="shared" si="135"/>
        <v>768.5</v>
      </c>
      <c r="E217" s="103">
        <v>768.5</v>
      </c>
      <c r="F217" s="103">
        <v>745.8</v>
      </c>
      <c r="G217" s="112"/>
      <c r="J217" s="30"/>
      <c r="K217" s="31"/>
      <c r="L217" s="33"/>
      <c r="M217" s="33"/>
    </row>
    <row r="218" spans="1:13" ht="12.75" customHeight="1" x14ac:dyDescent="0.25">
      <c r="A218" s="155"/>
      <c r="B218" s="129" t="s">
        <v>22</v>
      </c>
      <c r="C218" s="167"/>
      <c r="D218" s="103">
        <f t="shared" si="135"/>
        <v>2</v>
      </c>
      <c r="E218" s="103">
        <v>2</v>
      </c>
      <c r="F218" s="103">
        <v>2</v>
      </c>
      <c r="G218" s="112"/>
      <c r="J218" s="30"/>
      <c r="K218" s="31"/>
      <c r="L218" s="33"/>
      <c r="M218" s="33"/>
    </row>
    <row r="219" spans="1:13" ht="12.75" customHeight="1" x14ac:dyDescent="0.25">
      <c r="A219" s="155"/>
      <c r="B219" s="129" t="s">
        <v>16</v>
      </c>
      <c r="C219" s="167"/>
      <c r="D219" s="103">
        <f t="shared" si="135"/>
        <v>496.6</v>
      </c>
      <c r="E219" s="103">
        <v>492.1</v>
      </c>
      <c r="F219" s="103">
        <v>333.8</v>
      </c>
      <c r="G219" s="103">
        <v>4.5</v>
      </c>
      <c r="J219" s="30"/>
      <c r="K219" s="31"/>
      <c r="L219" s="33"/>
      <c r="M219" s="33"/>
    </row>
    <row r="220" spans="1:13" ht="12.75" customHeight="1" x14ac:dyDescent="0.25">
      <c r="A220" s="155"/>
      <c r="B220" s="121" t="s">
        <v>24</v>
      </c>
      <c r="C220" s="168"/>
      <c r="D220" s="103">
        <f t="shared" si="135"/>
        <v>3.8</v>
      </c>
      <c r="E220" s="103">
        <v>3.8</v>
      </c>
      <c r="F220" s="112"/>
      <c r="G220" s="112"/>
      <c r="J220" s="30"/>
      <c r="K220" s="31"/>
      <c r="L220" s="32"/>
      <c r="M220" s="32"/>
    </row>
    <row r="221" spans="1:13" ht="12.75" customHeight="1" x14ac:dyDescent="0.25">
      <c r="A221" s="101"/>
      <c r="B221" s="132" t="s">
        <v>164</v>
      </c>
      <c r="C221" s="133" t="s">
        <v>31</v>
      </c>
      <c r="D221" s="103">
        <f t="shared" si="135"/>
        <v>1.2</v>
      </c>
      <c r="E221" s="110">
        <f>SUM(E222:E222)</f>
        <v>1.2</v>
      </c>
      <c r="F221" s="110">
        <f t="shared" ref="F221:G221" si="136">SUM(F222:F222)</f>
        <v>0</v>
      </c>
      <c r="G221" s="110">
        <f t="shared" si="136"/>
        <v>0</v>
      </c>
      <c r="J221" s="30"/>
      <c r="K221" s="31"/>
      <c r="L221" s="32"/>
      <c r="M221" s="32"/>
    </row>
    <row r="222" spans="1:13" ht="12.75" customHeight="1" x14ac:dyDescent="0.25">
      <c r="A222" s="101"/>
      <c r="B222" s="134" t="s">
        <v>16</v>
      </c>
      <c r="C222" s="135"/>
      <c r="D222" s="103">
        <f t="shared" si="135"/>
        <v>1.2</v>
      </c>
      <c r="E222" s="103">
        <v>1.2</v>
      </c>
      <c r="F222" s="112"/>
      <c r="G222" s="112"/>
      <c r="J222" s="30"/>
      <c r="K222" s="31"/>
      <c r="L222" s="32"/>
      <c r="M222" s="32"/>
    </row>
    <row r="223" spans="1:13" ht="18" customHeight="1" x14ac:dyDescent="0.25">
      <c r="A223" s="159" t="s">
        <v>78</v>
      </c>
      <c r="B223" s="93" t="s">
        <v>79</v>
      </c>
      <c r="C223" s="90"/>
      <c r="D223" s="89">
        <f t="shared" si="135"/>
        <v>1139.5999999999999</v>
      </c>
      <c r="E223" s="89">
        <f t="shared" ref="E223" si="137">SUM(E224+E226)</f>
        <v>1127.5999999999999</v>
      </c>
      <c r="F223" s="89">
        <f t="shared" ref="F223" si="138">SUM(F224+F226)</f>
        <v>889.8</v>
      </c>
      <c r="G223" s="89">
        <f>SUM(G224+G226)</f>
        <v>12</v>
      </c>
      <c r="J223" s="30"/>
      <c r="K223" s="31"/>
      <c r="L223" s="32"/>
      <c r="M223" s="32"/>
    </row>
    <row r="224" spans="1:13" ht="15" customHeight="1" x14ac:dyDescent="0.25">
      <c r="A224" s="163"/>
      <c r="B224" s="117" t="s">
        <v>155</v>
      </c>
      <c r="C224" s="123" t="s">
        <v>17</v>
      </c>
      <c r="D224" s="111">
        <f>SUM(D225)</f>
        <v>43.8</v>
      </c>
      <c r="E224" s="111">
        <f>SUM(E225)</f>
        <v>43.8</v>
      </c>
      <c r="F224" s="111">
        <f>SUM(F225)</f>
        <v>0</v>
      </c>
      <c r="G224" s="111">
        <f>SUM(G225)</f>
        <v>0</v>
      </c>
      <c r="J224" s="30"/>
      <c r="K224" s="31"/>
      <c r="L224" s="32"/>
      <c r="M224" s="32"/>
    </row>
    <row r="225" spans="1:14" ht="12.75" customHeight="1" x14ac:dyDescent="0.25">
      <c r="A225" s="163"/>
      <c r="B225" s="130" t="s">
        <v>21</v>
      </c>
      <c r="C225" s="124"/>
      <c r="D225" s="103">
        <f t="shared" si="135"/>
        <v>43.8</v>
      </c>
      <c r="E225" s="103">
        <v>43.8</v>
      </c>
      <c r="F225" s="103"/>
      <c r="G225" s="127"/>
      <c r="I225" s="35"/>
      <c r="J225" s="30"/>
      <c r="K225" s="31"/>
      <c r="L225" s="32"/>
      <c r="M225" s="32"/>
      <c r="N225" s="32"/>
    </row>
    <row r="226" spans="1:14" ht="30.75" customHeight="1" x14ac:dyDescent="0.25">
      <c r="A226" s="163"/>
      <c r="B226" s="86" t="s">
        <v>161</v>
      </c>
      <c r="C226" s="72" t="s">
        <v>25</v>
      </c>
      <c r="D226" s="75">
        <f t="shared" ref="D226" si="139">SUM(D227:D232)</f>
        <v>1095.8</v>
      </c>
      <c r="E226" s="75">
        <f t="shared" ref="E226" si="140">SUM(E227:E232)</f>
        <v>1083.8</v>
      </c>
      <c r="F226" s="75">
        <f t="shared" ref="F226" si="141">SUM(F227:F232)</f>
        <v>889.8</v>
      </c>
      <c r="G226" s="75">
        <f>SUM(G227:G232)</f>
        <v>12</v>
      </c>
      <c r="I226" s="35"/>
      <c r="J226" s="30"/>
      <c r="K226" s="31"/>
      <c r="L226" s="32"/>
      <c r="M226" s="32"/>
      <c r="N226" s="32"/>
    </row>
    <row r="227" spans="1:14" ht="12.75" customHeight="1" x14ac:dyDescent="0.25">
      <c r="A227" s="161"/>
      <c r="B227" s="120" t="s">
        <v>68</v>
      </c>
      <c r="C227" s="166"/>
      <c r="D227" s="103">
        <f t="shared" ref="D227:D252" si="142">SUM(G227+E227)</f>
        <v>7.3</v>
      </c>
      <c r="E227" s="103">
        <v>7.3</v>
      </c>
      <c r="F227" s="103">
        <v>0.2</v>
      </c>
      <c r="G227" s="103"/>
      <c r="I227" s="35"/>
      <c r="J227" s="30"/>
      <c r="K227" s="31"/>
      <c r="L227" s="32"/>
      <c r="M227" s="32"/>
      <c r="N227" s="32"/>
    </row>
    <row r="228" spans="1:14" ht="12.75" customHeight="1" x14ac:dyDescent="0.25">
      <c r="A228" s="161"/>
      <c r="B228" s="129" t="s">
        <v>73</v>
      </c>
      <c r="C228" s="167"/>
      <c r="D228" s="103">
        <f t="shared" si="142"/>
        <v>7.2</v>
      </c>
      <c r="E228" s="103">
        <v>7.2</v>
      </c>
      <c r="F228" s="103">
        <v>7.1</v>
      </c>
      <c r="G228" s="103"/>
      <c r="I228" s="35"/>
      <c r="J228" s="30"/>
      <c r="K228" s="31"/>
      <c r="L228" s="32"/>
      <c r="M228" s="32"/>
      <c r="N228" s="32"/>
    </row>
    <row r="229" spans="1:14" ht="12.75" customHeight="1" x14ac:dyDescent="0.25">
      <c r="A229" s="161"/>
      <c r="B229" s="129" t="s">
        <v>28</v>
      </c>
      <c r="C229" s="167"/>
      <c r="D229" s="103">
        <f t="shared" si="142"/>
        <v>598.5</v>
      </c>
      <c r="E229" s="103">
        <v>598.5</v>
      </c>
      <c r="F229" s="103">
        <v>580.20000000000005</v>
      </c>
      <c r="G229" s="103"/>
      <c r="I229" s="35"/>
      <c r="J229" s="30"/>
      <c r="K229" s="31"/>
      <c r="L229" s="32"/>
      <c r="M229" s="32"/>
      <c r="N229" s="32"/>
    </row>
    <row r="230" spans="1:14" ht="12.75" customHeight="1" x14ac:dyDescent="0.25">
      <c r="A230" s="161"/>
      <c r="B230" s="129" t="s">
        <v>22</v>
      </c>
      <c r="C230" s="167"/>
      <c r="D230" s="103">
        <f t="shared" si="142"/>
        <v>0.9</v>
      </c>
      <c r="E230" s="103">
        <v>0.9</v>
      </c>
      <c r="F230" s="103">
        <v>0.9</v>
      </c>
      <c r="G230" s="103"/>
      <c r="I230" s="35"/>
      <c r="J230" s="30"/>
      <c r="K230" s="31"/>
      <c r="L230" s="32"/>
      <c r="M230" s="32"/>
      <c r="N230" s="32"/>
    </row>
    <row r="231" spans="1:14" ht="12.75" customHeight="1" x14ac:dyDescent="0.25">
      <c r="A231" s="161"/>
      <c r="B231" s="129" t="s">
        <v>16</v>
      </c>
      <c r="C231" s="167"/>
      <c r="D231" s="103">
        <f t="shared" si="142"/>
        <v>467.1</v>
      </c>
      <c r="E231" s="103">
        <f>448+16.1-9</f>
        <v>455.1</v>
      </c>
      <c r="F231" s="103">
        <v>301.39999999999998</v>
      </c>
      <c r="G231" s="103">
        <f>3+9</f>
        <v>12</v>
      </c>
      <c r="I231" s="35"/>
      <c r="J231" s="30"/>
      <c r="K231" s="31"/>
      <c r="L231" s="32"/>
      <c r="M231" s="32"/>
      <c r="N231" s="32"/>
    </row>
    <row r="232" spans="1:14" ht="12.75" customHeight="1" x14ac:dyDescent="0.25">
      <c r="A232" s="161"/>
      <c r="B232" s="121" t="s">
        <v>24</v>
      </c>
      <c r="C232" s="168"/>
      <c r="D232" s="103">
        <f t="shared" si="142"/>
        <v>14.8</v>
      </c>
      <c r="E232" s="103">
        <v>14.8</v>
      </c>
      <c r="F232" s="112"/>
      <c r="G232" s="112"/>
      <c r="I232" s="35"/>
      <c r="J232" s="30"/>
      <c r="K232" s="31"/>
      <c r="L232" s="32"/>
      <c r="M232" s="32"/>
      <c r="N232" s="32"/>
    </row>
    <row r="233" spans="1:14" ht="18" customHeight="1" x14ac:dyDescent="0.25">
      <c r="A233" s="154" t="s">
        <v>80</v>
      </c>
      <c r="B233" s="93" t="s">
        <v>81</v>
      </c>
      <c r="C233" s="94"/>
      <c r="D233" s="89">
        <f t="shared" ref="D233" si="143">SUM(G233+E233)</f>
        <v>1724.0000000000002</v>
      </c>
      <c r="E233" s="89">
        <f>SUM(E234+E236+E242)</f>
        <v>1708.3000000000002</v>
      </c>
      <c r="F233" s="89">
        <f t="shared" ref="F233" si="144">SUM(F234+F236)</f>
        <v>1370.8000000000002</v>
      </c>
      <c r="G233" s="89">
        <f>SUM(G234+G236)</f>
        <v>15.7</v>
      </c>
      <c r="I233" s="35"/>
      <c r="J233" s="30"/>
      <c r="K233" s="31"/>
      <c r="L233" s="32"/>
      <c r="M233" s="32"/>
      <c r="N233" s="32"/>
    </row>
    <row r="234" spans="1:14" ht="15" customHeight="1" x14ac:dyDescent="0.25">
      <c r="A234" s="154"/>
      <c r="B234" s="117" t="s">
        <v>155</v>
      </c>
      <c r="C234" s="123" t="s">
        <v>17</v>
      </c>
      <c r="D234" s="111">
        <f>SUM(D235)</f>
        <v>45</v>
      </c>
      <c r="E234" s="111">
        <f>SUM(E235)</f>
        <v>45</v>
      </c>
      <c r="F234" s="111">
        <f>SUM(F235)</f>
        <v>0</v>
      </c>
      <c r="G234" s="111">
        <f>SUM(G235)</f>
        <v>0</v>
      </c>
      <c r="I234" s="35"/>
      <c r="J234" s="30"/>
      <c r="K234" s="31"/>
      <c r="L234" s="32"/>
      <c r="M234" s="32"/>
      <c r="N234" s="32"/>
    </row>
    <row r="235" spans="1:14" ht="12.75" customHeight="1" x14ac:dyDescent="0.25">
      <c r="A235" s="154"/>
      <c r="B235" s="130" t="s">
        <v>21</v>
      </c>
      <c r="C235" s="125"/>
      <c r="D235" s="103">
        <f t="shared" si="142"/>
        <v>45</v>
      </c>
      <c r="E235" s="103">
        <v>45</v>
      </c>
      <c r="F235" s="103"/>
      <c r="G235" s="128"/>
      <c r="I235" s="35"/>
      <c r="J235" s="30"/>
      <c r="K235" s="31"/>
      <c r="L235" s="32"/>
      <c r="M235" s="32"/>
      <c r="N235" s="32"/>
    </row>
    <row r="236" spans="1:14" ht="30.75" customHeight="1" x14ac:dyDescent="0.25">
      <c r="A236" s="154"/>
      <c r="B236" s="126" t="s">
        <v>161</v>
      </c>
      <c r="C236" s="131" t="s">
        <v>25</v>
      </c>
      <c r="D236" s="110">
        <f t="shared" ref="D236" si="145">SUM(D237:D241)</f>
        <v>1677.8000000000002</v>
      </c>
      <c r="E236" s="110">
        <f>SUM(E237:E241)</f>
        <v>1662.1000000000001</v>
      </c>
      <c r="F236" s="110">
        <f>SUM(F237:F241)</f>
        <v>1370.8000000000002</v>
      </c>
      <c r="G236" s="110">
        <f>SUM(G237:G241)</f>
        <v>15.7</v>
      </c>
      <c r="I236" s="35"/>
      <c r="J236" s="30"/>
      <c r="K236" s="31"/>
      <c r="L236" s="32"/>
      <c r="M236" s="32"/>
      <c r="N236" s="32"/>
    </row>
    <row r="237" spans="1:14" ht="12.75" customHeight="1" x14ac:dyDescent="0.25">
      <c r="A237" s="155"/>
      <c r="B237" s="120" t="s">
        <v>68</v>
      </c>
      <c r="C237" s="166"/>
      <c r="D237" s="103">
        <f t="shared" si="142"/>
        <v>19.799999999999997</v>
      </c>
      <c r="E237" s="103">
        <v>12.2</v>
      </c>
      <c r="F237" s="103">
        <v>0.7</v>
      </c>
      <c r="G237" s="127">
        <v>7.6</v>
      </c>
      <c r="I237" s="35"/>
      <c r="J237" s="30"/>
      <c r="K237" s="31"/>
      <c r="L237" s="32"/>
      <c r="M237" s="32"/>
      <c r="N237" s="32"/>
    </row>
    <row r="238" spans="1:14" ht="12.75" customHeight="1" x14ac:dyDescent="0.25">
      <c r="A238" s="155"/>
      <c r="B238" s="129" t="s">
        <v>28</v>
      </c>
      <c r="C238" s="167"/>
      <c r="D238" s="103">
        <f t="shared" si="142"/>
        <v>1094.7</v>
      </c>
      <c r="E238" s="103">
        <v>1094.7</v>
      </c>
      <c r="F238" s="103">
        <v>1059.7</v>
      </c>
      <c r="G238" s="103"/>
      <c r="I238" s="35"/>
      <c r="J238" s="30"/>
      <c r="K238" s="31"/>
      <c r="L238" s="32"/>
      <c r="M238" s="32"/>
      <c r="N238" s="32"/>
    </row>
    <row r="239" spans="1:14" ht="12.75" customHeight="1" x14ac:dyDescent="0.25">
      <c r="A239" s="155"/>
      <c r="B239" s="129" t="s">
        <v>22</v>
      </c>
      <c r="C239" s="167"/>
      <c r="D239" s="103">
        <f t="shared" si="142"/>
        <v>3.3</v>
      </c>
      <c r="E239" s="103">
        <v>3.3</v>
      </c>
      <c r="F239" s="103">
        <v>3.3</v>
      </c>
      <c r="G239" s="103"/>
      <c r="I239" s="35"/>
      <c r="J239" s="30"/>
      <c r="K239" s="31"/>
      <c r="L239" s="32"/>
      <c r="M239" s="32"/>
      <c r="N239" s="32"/>
    </row>
    <row r="240" spans="1:14" ht="12.75" customHeight="1" x14ac:dyDescent="0.25">
      <c r="A240" s="155"/>
      <c r="B240" s="129" t="s">
        <v>16</v>
      </c>
      <c r="C240" s="167"/>
      <c r="D240" s="103">
        <f t="shared" si="142"/>
        <v>556.6</v>
      </c>
      <c r="E240" s="103">
        <f>536.5+12</f>
        <v>548.5</v>
      </c>
      <c r="F240" s="103">
        <f>310.1-3</f>
        <v>307.10000000000002</v>
      </c>
      <c r="G240" s="103">
        <f>3.6+4.5</f>
        <v>8.1</v>
      </c>
      <c r="I240" s="35"/>
      <c r="J240" s="30"/>
      <c r="K240" s="31"/>
      <c r="L240" s="33"/>
      <c r="M240" s="33"/>
      <c r="N240" s="32"/>
    </row>
    <row r="241" spans="1:14" ht="12.75" customHeight="1" x14ac:dyDescent="0.25">
      <c r="A241" s="155"/>
      <c r="B241" s="121" t="s">
        <v>24</v>
      </c>
      <c r="C241" s="168"/>
      <c r="D241" s="103">
        <f t="shared" si="142"/>
        <v>3.4</v>
      </c>
      <c r="E241" s="103">
        <v>3.4</v>
      </c>
      <c r="F241" s="112"/>
      <c r="G241" s="112"/>
      <c r="I241" s="35"/>
      <c r="J241" s="30"/>
      <c r="K241" s="31"/>
      <c r="L241" s="33"/>
      <c r="M241" s="33"/>
      <c r="N241" s="32"/>
    </row>
    <row r="242" spans="1:14" ht="12.75" customHeight="1" x14ac:dyDescent="0.25">
      <c r="A242" s="100"/>
      <c r="B242" s="132" t="s">
        <v>164</v>
      </c>
      <c r="C242" s="133" t="s">
        <v>31</v>
      </c>
      <c r="D242" s="103">
        <f t="shared" si="142"/>
        <v>1.2</v>
      </c>
      <c r="E242" s="110">
        <f>SUM(E243:E243)</f>
        <v>1.2</v>
      </c>
      <c r="F242" s="110">
        <f t="shared" ref="F242:G242" si="146">SUM(F243:F243)</f>
        <v>0</v>
      </c>
      <c r="G242" s="110">
        <f t="shared" si="146"/>
        <v>0</v>
      </c>
      <c r="I242" s="35"/>
      <c r="J242" s="30"/>
      <c r="K242" s="31"/>
      <c r="L242" s="33"/>
      <c r="M242" s="33"/>
      <c r="N242" s="32"/>
    </row>
    <row r="243" spans="1:14" ht="12.75" customHeight="1" x14ac:dyDescent="0.25">
      <c r="A243" s="100"/>
      <c r="B243" s="134" t="s">
        <v>16</v>
      </c>
      <c r="C243" s="135"/>
      <c r="D243" s="103">
        <f t="shared" si="142"/>
        <v>1.2</v>
      </c>
      <c r="E243" s="103">
        <v>1.2</v>
      </c>
      <c r="F243" s="112"/>
      <c r="G243" s="112"/>
      <c r="I243" s="35"/>
      <c r="J243" s="30"/>
      <c r="K243" s="31"/>
      <c r="L243" s="33"/>
      <c r="M243" s="33"/>
      <c r="N243" s="32"/>
    </row>
    <row r="244" spans="1:14" ht="18" customHeight="1" x14ac:dyDescent="0.25">
      <c r="A244" s="154" t="s">
        <v>82</v>
      </c>
      <c r="B244" s="93" t="s">
        <v>83</v>
      </c>
      <c r="C244" s="80"/>
      <c r="D244" s="89">
        <f t="shared" ref="D244" si="147">SUM(G244+E244)</f>
        <v>515.29999999999995</v>
      </c>
      <c r="E244" s="89">
        <f t="shared" ref="E244" si="148">SUM(E245+E247)</f>
        <v>513.79999999999995</v>
      </c>
      <c r="F244" s="89">
        <f t="shared" ref="F244" si="149">SUM(F245+F247)</f>
        <v>443.7</v>
      </c>
      <c r="G244" s="89">
        <f>SUM(G245+G247)</f>
        <v>1.5</v>
      </c>
      <c r="I244" s="35"/>
      <c r="J244" s="30"/>
      <c r="K244" s="31"/>
      <c r="L244" s="33"/>
      <c r="M244" s="33"/>
      <c r="N244" s="32"/>
    </row>
    <row r="245" spans="1:14" ht="15" customHeight="1" x14ac:dyDescent="0.25">
      <c r="A245" s="154"/>
      <c r="B245" s="117" t="s">
        <v>155</v>
      </c>
      <c r="C245" s="123" t="s">
        <v>17</v>
      </c>
      <c r="D245" s="111">
        <f>SUM(D246)</f>
        <v>10</v>
      </c>
      <c r="E245" s="111">
        <f>SUM(E246)</f>
        <v>10</v>
      </c>
      <c r="F245" s="111">
        <f>SUM(F246)</f>
        <v>0</v>
      </c>
      <c r="G245" s="111">
        <f>SUM(G246)</f>
        <v>0</v>
      </c>
      <c r="I245" s="35"/>
      <c r="J245" s="30"/>
      <c r="K245" s="31"/>
      <c r="L245" s="33"/>
      <c r="M245" s="33"/>
      <c r="N245" s="32"/>
    </row>
    <row r="246" spans="1:14" ht="12.75" customHeight="1" x14ac:dyDescent="0.25">
      <c r="A246" s="154"/>
      <c r="B246" s="130" t="s">
        <v>21</v>
      </c>
      <c r="C246" s="125"/>
      <c r="D246" s="103">
        <f t="shared" si="142"/>
        <v>10</v>
      </c>
      <c r="E246" s="103">
        <v>10</v>
      </c>
      <c r="F246" s="103"/>
      <c r="G246" s="128"/>
      <c r="I246" s="35"/>
      <c r="J246" s="30"/>
      <c r="K246" s="31"/>
      <c r="L246" s="33"/>
      <c r="M246" s="33"/>
      <c r="N246" s="32"/>
    </row>
    <row r="247" spans="1:14" ht="30.75" customHeight="1" x14ac:dyDescent="0.25">
      <c r="A247" s="154"/>
      <c r="B247" s="126" t="s">
        <v>166</v>
      </c>
      <c r="C247" s="131" t="s">
        <v>25</v>
      </c>
      <c r="D247" s="110">
        <f t="shared" ref="D247" si="150">SUM(D248:D252)</f>
        <v>505.3</v>
      </c>
      <c r="E247" s="110">
        <f t="shared" ref="E247" si="151">SUM(E248:E252)</f>
        <v>503.8</v>
      </c>
      <c r="F247" s="110">
        <f t="shared" ref="F247" si="152">SUM(F248:F252)</f>
        <v>443.7</v>
      </c>
      <c r="G247" s="110">
        <f>SUM(G248:G252)</f>
        <v>1.5</v>
      </c>
      <c r="I247" s="35"/>
      <c r="J247" s="30"/>
      <c r="K247" s="31"/>
      <c r="L247" s="33"/>
      <c r="M247" s="33"/>
      <c r="N247" s="32"/>
    </row>
    <row r="248" spans="1:14" ht="12.75" customHeight="1" x14ac:dyDescent="0.25">
      <c r="A248" s="155"/>
      <c r="B248" s="120" t="s">
        <v>68</v>
      </c>
      <c r="C248" s="166"/>
      <c r="D248" s="103">
        <f t="shared" si="142"/>
        <v>3.5</v>
      </c>
      <c r="E248" s="103">
        <v>3.5</v>
      </c>
      <c r="F248" s="103"/>
      <c r="G248" s="112"/>
      <c r="I248" s="35"/>
      <c r="J248" s="30"/>
      <c r="K248" s="31"/>
      <c r="L248" s="33"/>
      <c r="M248" s="33"/>
      <c r="N248" s="32"/>
    </row>
    <row r="249" spans="1:14" ht="12.75" customHeight="1" x14ac:dyDescent="0.25">
      <c r="A249" s="155"/>
      <c r="B249" s="129" t="s">
        <v>73</v>
      </c>
      <c r="C249" s="167"/>
      <c r="D249" s="103">
        <f t="shared" ref="D249" si="153">SUM(G249+E249)</f>
        <v>12.3</v>
      </c>
      <c r="E249" s="103">
        <f>7.2+5.1</f>
        <v>12.3</v>
      </c>
      <c r="F249" s="103">
        <v>7.1</v>
      </c>
      <c r="G249" s="112"/>
      <c r="I249" s="35"/>
      <c r="J249" s="30"/>
      <c r="K249" s="31"/>
      <c r="L249" s="33"/>
      <c r="M249" s="33"/>
      <c r="N249" s="32"/>
    </row>
    <row r="250" spans="1:14" ht="12.75" customHeight="1" x14ac:dyDescent="0.25">
      <c r="A250" s="155"/>
      <c r="B250" s="129" t="s">
        <v>28</v>
      </c>
      <c r="C250" s="167"/>
      <c r="D250" s="103">
        <f t="shared" si="142"/>
        <v>249.9</v>
      </c>
      <c r="E250" s="103">
        <v>249.9</v>
      </c>
      <c r="F250" s="103">
        <v>242.1</v>
      </c>
      <c r="G250" s="112"/>
      <c r="I250" s="35"/>
      <c r="J250" s="30"/>
      <c r="K250" s="31"/>
      <c r="L250" s="33"/>
      <c r="M250" s="33"/>
      <c r="N250" s="32"/>
    </row>
    <row r="251" spans="1:14" ht="12.75" customHeight="1" x14ac:dyDescent="0.25">
      <c r="A251" s="155"/>
      <c r="B251" s="129" t="s">
        <v>16</v>
      </c>
      <c r="C251" s="167"/>
      <c r="D251" s="103">
        <f t="shared" si="142"/>
        <v>230.4</v>
      </c>
      <c r="E251" s="103">
        <f>226.3+2.6</f>
        <v>228.9</v>
      </c>
      <c r="F251" s="103">
        <v>194.5</v>
      </c>
      <c r="G251" s="103">
        <v>1.5</v>
      </c>
      <c r="I251" s="35"/>
      <c r="J251" s="30"/>
      <c r="K251" s="31"/>
      <c r="L251" s="33"/>
      <c r="M251" s="33"/>
      <c r="N251" s="32"/>
    </row>
    <row r="252" spans="1:14" ht="12.75" customHeight="1" x14ac:dyDescent="0.25">
      <c r="A252" s="155"/>
      <c r="B252" s="121" t="s">
        <v>24</v>
      </c>
      <c r="C252" s="168"/>
      <c r="D252" s="103">
        <f t="shared" si="142"/>
        <v>9.1999999999999993</v>
      </c>
      <c r="E252" s="103">
        <v>9.1999999999999993</v>
      </c>
      <c r="F252" s="103"/>
      <c r="G252" s="112"/>
      <c r="I252" s="35"/>
      <c r="J252" s="30"/>
      <c r="K252" s="31"/>
      <c r="L252" s="33"/>
      <c r="M252" s="33"/>
      <c r="N252" s="32"/>
    </row>
    <row r="253" spans="1:14" ht="18" customHeight="1" x14ac:dyDescent="0.25">
      <c r="A253" s="154" t="s">
        <v>84</v>
      </c>
      <c r="B253" s="93" t="s">
        <v>85</v>
      </c>
      <c r="C253" s="88"/>
      <c r="D253" s="89">
        <f t="shared" ref="D253" si="154">SUM(G253+E253)</f>
        <v>481.7</v>
      </c>
      <c r="E253" s="89">
        <f t="shared" ref="E253" si="155">SUM(E254+E256)</f>
        <v>481.7</v>
      </c>
      <c r="F253" s="89">
        <f t="shared" ref="F253" si="156">SUM(F254+F256)</f>
        <v>406.7</v>
      </c>
      <c r="G253" s="89">
        <f>SUM(G254+G256)</f>
        <v>0</v>
      </c>
      <c r="I253" s="35"/>
      <c r="J253" s="30"/>
      <c r="K253" s="31"/>
      <c r="L253" s="33"/>
      <c r="M253" s="33"/>
      <c r="N253" s="32"/>
    </row>
    <row r="254" spans="1:14" ht="15" customHeight="1" x14ac:dyDescent="0.25">
      <c r="A254" s="154"/>
      <c r="B254" s="117" t="s">
        <v>155</v>
      </c>
      <c r="C254" s="123" t="s">
        <v>17</v>
      </c>
      <c r="D254" s="111">
        <f>SUM(D255)</f>
        <v>11.5</v>
      </c>
      <c r="E254" s="111">
        <f>SUM(E255)</f>
        <v>11.5</v>
      </c>
      <c r="F254" s="111">
        <f>SUM(F255)</f>
        <v>0</v>
      </c>
      <c r="G254" s="111">
        <f>SUM(G255)</f>
        <v>0</v>
      </c>
      <c r="I254" s="35"/>
      <c r="J254" s="30"/>
      <c r="K254" s="31"/>
      <c r="L254" s="33"/>
      <c r="M254" s="33"/>
      <c r="N254" s="32"/>
    </row>
    <row r="255" spans="1:14" ht="12.75" customHeight="1" x14ac:dyDescent="0.25">
      <c r="A255" s="154"/>
      <c r="B255" s="130" t="s">
        <v>21</v>
      </c>
      <c r="C255" s="124"/>
      <c r="D255" s="103">
        <f t="shared" ref="D255:D338" si="157">SUM(G255+E255)</f>
        <v>11.5</v>
      </c>
      <c r="E255" s="103">
        <v>11.5</v>
      </c>
      <c r="F255" s="103"/>
      <c r="G255" s="128"/>
      <c r="I255" s="35"/>
      <c r="J255" s="30"/>
      <c r="K255" s="31"/>
      <c r="L255" s="33"/>
      <c r="M255" s="33"/>
      <c r="N255" s="32"/>
    </row>
    <row r="256" spans="1:14" ht="30.75" customHeight="1" x14ac:dyDescent="0.25">
      <c r="A256" s="154"/>
      <c r="B256" s="126" t="s">
        <v>161</v>
      </c>
      <c r="C256" s="131" t="s">
        <v>25</v>
      </c>
      <c r="D256" s="110">
        <f t="shared" ref="D256:F256" si="158">SUM(D257:D261)</f>
        <v>470.2</v>
      </c>
      <c r="E256" s="110">
        <f>SUM(E257:E261)</f>
        <v>470.2</v>
      </c>
      <c r="F256" s="110">
        <f t="shared" si="158"/>
        <v>406.7</v>
      </c>
      <c r="G256" s="110">
        <f>SUM(G257:G261)</f>
        <v>0</v>
      </c>
      <c r="I256" s="35"/>
      <c r="J256" s="30"/>
      <c r="K256" s="31"/>
      <c r="L256" s="33"/>
      <c r="M256" s="33"/>
      <c r="N256" s="32"/>
    </row>
    <row r="257" spans="1:14" ht="12.75" customHeight="1" x14ac:dyDescent="0.25">
      <c r="A257" s="155"/>
      <c r="B257" s="120" t="s">
        <v>68</v>
      </c>
      <c r="C257" s="166"/>
      <c r="D257" s="103">
        <f t="shared" si="157"/>
        <v>1.8</v>
      </c>
      <c r="E257" s="103">
        <v>1.8</v>
      </c>
      <c r="F257" s="103"/>
      <c r="G257" s="112"/>
      <c r="I257" s="35"/>
      <c r="J257" s="30"/>
      <c r="K257" s="31"/>
      <c r="L257" s="33"/>
      <c r="M257" s="33"/>
      <c r="N257" s="32"/>
    </row>
    <row r="258" spans="1:14" ht="12.75" customHeight="1" x14ac:dyDescent="0.25">
      <c r="A258" s="155"/>
      <c r="B258" s="129" t="s">
        <v>73</v>
      </c>
      <c r="C258" s="167"/>
      <c r="D258" s="103">
        <f t="shared" si="157"/>
        <v>2.1</v>
      </c>
      <c r="E258" s="103">
        <v>2.1</v>
      </c>
      <c r="F258" s="103"/>
      <c r="G258" s="112"/>
      <c r="I258" s="35"/>
      <c r="J258" s="30"/>
      <c r="K258" s="31"/>
      <c r="L258" s="33"/>
      <c r="M258" s="33"/>
      <c r="N258" s="32"/>
    </row>
    <row r="259" spans="1:14" ht="12.75" customHeight="1" x14ac:dyDescent="0.25">
      <c r="A259" s="155"/>
      <c r="B259" s="129" t="s">
        <v>28</v>
      </c>
      <c r="C259" s="167"/>
      <c r="D259" s="103">
        <f t="shared" si="157"/>
        <v>239.1</v>
      </c>
      <c r="E259" s="103">
        <v>239.1</v>
      </c>
      <c r="F259" s="103">
        <v>233</v>
      </c>
      <c r="G259" s="112"/>
      <c r="I259" s="35"/>
      <c r="J259" s="30"/>
      <c r="K259" s="31"/>
      <c r="L259" s="33"/>
      <c r="M259" s="33"/>
      <c r="N259" s="32"/>
    </row>
    <row r="260" spans="1:14" ht="12.75" customHeight="1" x14ac:dyDescent="0.25">
      <c r="A260" s="155"/>
      <c r="B260" s="129" t="s">
        <v>16</v>
      </c>
      <c r="C260" s="167"/>
      <c r="D260" s="103">
        <f t="shared" si="157"/>
        <v>224.2</v>
      </c>
      <c r="E260" s="103">
        <f>223.2+1</f>
        <v>224.2</v>
      </c>
      <c r="F260" s="103">
        <v>173.7</v>
      </c>
      <c r="G260" s="112"/>
      <c r="I260" s="35"/>
      <c r="J260" s="30"/>
      <c r="K260" s="31"/>
      <c r="L260" s="33"/>
      <c r="M260" s="33"/>
      <c r="N260" s="32"/>
    </row>
    <row r="261" spans="1:14" ht="12.75" customHeight="1" x14ac:dyDescent="0.25">
      <c r="A261" s="155"/>
      <c r="B261" s="121" t="s">
        <v>24</v>
      </c>
      <c r="C261" s="168"/>
      <c r="D261" s="103">
        <f t="shared" si="157"/>
        <v>3</v>
      </c>
      <c r="E261" s="103">
        <v>3</v>
      </c>
      <c r="F261" s="103"/>
      <c r="G261" s="112"/>
      <c r="I261" s="35"/>
      <c r="J261" s="30"/>
      <c r="K261" s="31"/>
      <c r="L261" s="33"/>
      <c r="M261" s="33"/>
      <c r="N261" s="32"/>
    </row>
    <row r="262" spans="1:14" ht="18" customHeight="1" x14ac:dyDescent="0.25">
      <c r="A262" s="154" t="s">
        <v>86</v>
      </c>
      <c r="B262" s="93" t="s">
        <v>87</v>
      </c>
      <c r="C262" s="90"/>
      <c r="D262" s="89">
        <f t="shared" ref="D262" si="159">SUM(G262+E262)</f>
        <v>941.69999999999993</v>
      </c>
      <c r="E262" s="89">
        <f>SUM(E263+E265+E271)</f>
        <v>935.8</v>
      </c>
      <c r="F262" s="89">
        <f t="shared" ref="F262:G262" si="160">SUM(F263+F265+F271)</f>
        <v>788.90000000000009</v>
      </c>
      <c r="G262" s="89">
        <f t="shared" si="160"/>
        <v>5.8999999999999995</v>
      </c>
      <c r="I262" s="35"/>
      <c r="J262" s="30"/>
      <c r="K262" s="31"/>
      <c r="L262" s="33"/>
      <c r="M262" s="33"/>
      <c r="N262" s="32"/>
    </row>
    <row r="263" spans="1:14" ht="15" customHeight="1" x14ac:dyDescent="0.25">
      <c r="A263" s="154"/>
      <c r="B263" s="69" t="s">
        <v>155</v>
      </c>
      <c r="C263" s="68" t="s">
        <v>17</v>
      </c>
      <c r="D263" s="67">
        <f>SUM(D264)</f>
        <v>29</v>
      </c>
      <c r="E263" s="67">
        <f>SUM(E264)</f>
        <v>29</v>
      </c>
      <c r="F263" s="67">
        <f>SUM(F264)</f>
        <v>0</v>
      </c>
      <c r="G263" s="67">
        <f>SUM(G264)</f>
        <v>0</v>
      </c>
      <c r="I263" s="35"/>
      <c r="J263" s="30"/>
      <c r="K263" s="31"/>
      <c r="L263" s="33"/>
      <c r="M263" s="33"/>
      <c r="N263" s="32"/>
    </row>
    <row r="264" spans="1:14" ht="12.75" customHeight="1" x14ac:dyDescent="0.25">
      <c r="A264" s="154"/>
      <c r="B264" s="13" t="s">
        <v>21</v>
      </c>
      <c r="C264" s="10"/>
      <c r="D264" s="11">
        <f t="shared" si="157"/>
        <v>29</v>
      </c>
      <c r="E264" s="11">
        <v>29</v>
      </c>
      <c r="F264" s="11"/>
      <c r="G264" s="29"/>
      <c r="I264" s="35"/>
      <c r="J264" s="30"/>
      <c r="K264" s="31"/>
      <c r="L264" s="33"/>
      <c r="M264" s="33"/>
      <c r="N264" s="32"/>
    </row>
    <row r="265" spans="1:14" ht="30.75" customHeight="1" x14ac:dyDescent="0.25">
      <c r="A265" s="154"/>
      <c r="B265" s="86" t="s">
        <v>166</v>
      </c>
      <c r="C265" s="72" t="s">
        <v>25</v>
      </c>
      <c r="D265" s="75">
        <f t="shared" ref="D265:F265" si="161">SUM(D266:D270)</f>
        <v>911.9</v>
      </c>
      <c r="E265" s="75">
        <f t="shared" si="161"/>
        <v>906.8</v>
      </c>
      <c r="F265" s="75">
        <f t="shared" si="161"/>
        <v>788.90000000000009</v>
      </c>
      <c r="G265" s="75">
        <f>SUM(G266:G270)</f>
        <v>5.0999999999999996</v>
      </c>
      <c r="I265" s="35"/>
      <c r="J265" s="30"/>
      <c r="K265" s="31"/>
      <c r="L265" s="33"/>
      <c r="M265" s="33"/>
      <c r="N265" s="32"/>
    </row>
    <row r="266" spans="1:14" ht="12.75" customHeight="1" x14ac:dyDescent="0.25">
      <c r="A266" s="155"/>
      <c r="B266" s="120" t="s">
        <v>68</v>
      </c>
      <c r="C266" s="166"/>
      <c r="D266" s="103">
        <f t="shared" si="157"/>
        <v>4.9000000000000004</v>
      </c>
      <c r="E266" s="103">
        <v>4.9000000000000004</v>
      </c>
      <c r="F266" s="103"/>
      <c r="G266" s="103"/>
      <c r="I266" s="35"/>
      <c r="J266" s="30"/>
      <c r="K266" s="31"/>
      <c r="L266" s="33"/>
      <c r="M266" s="33"/>
      <c r="N266" s="32"/>
    </row>
    <row r="267" spans="1:14" ht="12.75" customHeight="1" x14ac:dyDescent="0.25">
      <c r="A267" s="155"/>
      <c r="B267" s="129" t="s">
        <v>73</v>
      </c>
      <c r="C267" s="167"/>
      <c r="D267" s="103">
        <f t="shared" si="157"/>
        <v>7.2</v>
      </c>
      <c r="E267" s="103">
        <v>7.2</v>
      </c>
      <c r="F267" s="103">
        <v>7.1</v>
      </c>
      <c r="G267" s="103"/>
      <c r="I267" s="35"/>
      <c r="J267" s="30"/>
      <c r="K267" s="31"/>
      <c r="L267" s="33"/>
      <c r="M267" s="33"/>
      <c r="N267" s="32"/>
    </row>
    <row r="268" spans="1:14" ht="12.75" customHeight="1" x14ac:dyDescent="0.25">
      <c r="A268" s="155"/>
      <c r="B268" s="129" t="s">
        <v>28</v>
      </c>
      <c r="C268" s="167"/>
      <c r="D268" s="103">
        <f t="shared" si="157"/>
        <v>512.79999999999995</v>
      </c>
      <c r="E268" s="103">
        <v>512.79999999999995</v>
      </c>
      <c r="F268" s="103">
        <v>498.5</v>
      </c>
      <c r="G268" s="112"/>
      <c r="J268" s="30"/>
      <c r="K268" s="31"/>
      <c r="L268" s="33"/>
      <c r="M268" s="33"/>
      <c r="N268" s="32"/>
    </row>
    <row r="269" spans="1:14" ht="12.75" customHeight="1" x14ac:dyDescent="0.25">
      <c r="A269" s="155"/>
      <c r="B269" s="129" t="s">
        <v>16</v>
      </c>
      <c r="C269" s="167"/>
      <c r="D269" s="103">
        <f t="shared" si="157"/>
        <v>355</v>
      </c>
      <c r="E269" s="103">
        <v>349.9</v>
      </c>
      <c r="F269" s="103">
        <v>283.3</v>
      </c>
      <c r="G269" s="103">
        <f>3.6+1.5</f>
        <v>5.0999999999999996</v>
      </c>
      <c r="J269" s="30"/>
      <c r="K269" s="31"/>
      <c r="L269" s="33"/>
      <c r="M269" s="33"/>
      <c r="N269" s="32"/>
    </row>
    <row r="270" spans="1:14" ht="12.75" customHeight="1" x14ac:dyDescent="0.25">
      <c r="A270" s="155"/>
      <c r="B270" s="121" t="s">
        <v>24</v>
      </c>
      <c r="C270" s="168"/>
      <c r="D270" s="103">
        <f t="shared" si="157"/>
        <v>32</v>
      </c>
      <c r="E270" s="103">
        <v>32</v>
      </c>
      <c r="F270" s="103"/>
      <c r="G270" s="112"/>
      <c r="J270" s="30"/>
      <c r="K270" s="31"/>
      <c r="L270" s="33"/>
      <c r="M270" s="33"/>
      <c r="N270" s="32"/>
    </row>
    <row r="271" spans="1:14" ht="12.75" customHeight="1" x14ac:dyDescent="0.25">
      <c r="A271" s="100"/>
      <c r="B271" s="132" t="s">
        <v>164</v>
      </c>
      <c r="C271" s="133" t="s">
        <v>31</v>
      </c>
      <c r="D271" s="103">
        <f t="shared" si="157"/>
        <v>0.8</v>
      </c>
      <c r="E271" s="110">
        <f>SUM(E272:E272)</f>
        <v>0</v>
      </c>
      <c r="F271" s="110">
        <f t="shared" ref="F271:G271" si="162">SUM(F272:F272)</f>
        <v>0</v>
      </c>
      <c r="G271" s="110">
        <f t="shared" si="162"/>
        <v>0.8</v>
      </c>
      <c r="J271" s="30"/>
      <c r="K271" s="31"/>
      <c r="L271" s="33"/>
      <c r="M271" s="33"/>
      <c r="N271" s="32"/>
    </row>
    <row r="272" spans="1:14" ht="12.75" customHeight="1" x14ac:dyDescent="0.25">
      <c r="A272" s="100"/>
      <c r="B272" s="134" t="s">
        <v>16</v>
      </c>
      <c r="C272" s="135"/>
      <c r="D272" s="103">
        <f t="shared" si="157"/>
        <v>0.8</v>
      </c>
      <c r="E272" s="103"/>
      <c r="F272" s="103"/>
      <c r="G272" s="103">
        <v>0.8</v>
      </c>
      <c r="J272" s="30"/>
      <c r="K272" s="31"/>
      <c r="L272" s="33"/>
      <c r="M272" s="33"/>
      <c r="N272" s="32"/>
    </row>
    <row r="273" spans="1:20" ht="18" customHeight="1" x14ac:dyDescent="0.25">
      <c r="A273" s="154" t="s">
        <v>88</v>
      </c>
      <c r="B273" s="93" t="s">
        <v>89</v>
      </c>
      <c r="C273" s="90"/>
      <c r="D273" s="89">
        <f t="shared" ref="D273" si="163">SUM(G273+E273)</f>
        <v>683.49999999999989</v>
      </c>
      <c r="E273" s="89">
        <f t="shared" ref="E273" si="164">SUM(E274+E276)</f>
        <v>681.99999999999989</v>
      </c>
      <c r="F273" s="89">
        <f t="shared" ref="F273" si="165">SUM(F274+F276)</f>
        <v>568.6</v>
      </c>
      <c r="G273" s="89">
        <f>SUM(G274+G276)</f>
        <v>1.5</v>
      </c>
      <c r="J273" s="30"/>
      <c r="K273" s="31"/>
      <c r="L273" s="33"/>
      <c r="M273" s="33"/>
      <c r="N273" s="32"/>
    </row>
    <row r="274" spans="1:20" ht="15" customHeight="1" x14ac:dyDescent="0.25">
      <c r="A274" s="154"/>
      <c r="B274" s="117" t="s">
        <v>155</v>
      </c>
      <c r="C274" s="123" t="s">
        <v>17</v>
      </c>
      <c r="D274" s="111">
        <f>SUM(D275)</f>
        <v>15</v>
      </c>
      <c r="E274" s="111">
        <f>SUM(E275)</f>
        <v>15</v>
      </c>
      <c r="F274" s="111">
        <f>SUM(F275)</f>
        <v>0</v>
      </c>
      <c r="G274" s="111">
        <f>SUM(G275)</f>
        <v>0</v>
      </c>
      <c r="J274" s="30"/>
      <c r="K274" s="31"/>
      <c r="L274" s="33"/>
      <c r="M274" s="33"/>
      <c r="N274" s="32"/>
    </row>
    <row r="275" spans="1:20" ht="12.75" customHeight="1" x14ac:dyDescent="0.25">
      <c r="A275" s="154"/>
      <c r="B275" s="130" t="s">
        <v>21</v>
      </c>
      <c r="C275" s="124"/>
      <c r="D275" s="103">
        <f t="shared" si="157"/>
        <v>15</v>
      </c>
      <c r="E275" s="103">
        <v>15</v>
      </c>
      <c r="F275" s="103"/>
      <c r="G275" s="128"/>
      <c r="J275" s="30"/>
      <c r="K275" s="31"/>
      <c r="L275" s="33"/>
      <c r="M275" s="33"/>
      <c r="N275" s="32"/>
    </row>
    <row r="276" spans="1:20" ht="30.75" customHeight="1" x14ac:dyDescent="0.25">
      <c r="A276" s="154"/>
      <c r="B276" s="126" t="s">
        <v>161</v>
      </c>
      <c r="C276" s="131" t="s">
        <v>25</v>
      </c>
      <c r="D276" s="110">
        <f t="shared" ref="D276:F276" si="166">SUM(D277:D281)</f>
        <v>668.49999999999989</v>
      </c>
      <c r="E276" s="110">
        <f t="shared" si="166"/>
        <v>666.99999999999989</v>
      </c>
      <c r="F276" s="110">
        <f t="shared" si="166"/>
        <v>568.6</v>
      </c>
      <c r="G276" s="110">
        <f>SUM(G277:G281)</f>
        <v>1.5</v>
      </c>
      <c r="J276" s="30"/>
      <c r="K276" s="31"/>
      <c r="L276" s="33"/>
      <c r="M276" s="33"/>
      <c r="N276" s="32"/>
    </row>
    <row r="277" spans="1:20" ht="12.75" customHeight="1" x14ac:dyDescent="0.25">
      <c r="A277" s="155"/>
      <c r="B277" s="120" t="s">
        <v>68</v>
      </c>
      <c r="C277" s="166"/>
      <c r="D277" s="103">
        <f t="shared" si="157"/>
        <v>3</v>
      </c>
      <c r="E277" s="103">
        <v>3</v>
      </c>
      <c r="F277" s="103"/>
      <c r="G277" s="112"/>
      <c r="J277" s="30"/>
      <c r="K277" s="31"/>
      <c r="L277" s="33"/>
      <c r="M277" s="33"/>
      <c r="N277" s="32"/>
    </row>
    <row r="278" spans="1:20" ht="12.75" customHeight="1" x14ac:dyDescent="0.25">
      <c r="A278" s="155"/>
      <c r="B278" s="129" t="s">
        <v>73</v>
      </c>
      <c r="C278" s="167"/>
      <c r="D278" s="103">
        <f t="shared" si="157"/>
        <v>7.2</v>
      </c>
      <c r="E278" s="103">
        <v>7.2</v>
      </c>
      <c r="F278" s="103">
        <v>7.1</v>
      </c>
      <c r="G278" s="112"/>
      <c r="J278" s="30"/>
      <c r="K278" s="31"/>
      <c r="L278" s="33"/>
      <c r="M278" s="33"/>
      <c r="N278" s="32"/>
    </row>
    <row r="279" spans="1:20" ht="12.75" customHeight="1" x14ac:dyDescent="0.25">
      <c r="A279" s="155"/>
      <c r="B279" s="129" t="s">
        <v>28</v>
      </c>
      <c r="C279" s="167"/>
      <c r="D279" s="103">
        <f t="shared" si="157"/>
        <v>390.4</v>
      </c>
      <c r="E279" s="103">
        <v>390.4</v>
      </c>
      <c r="F279" s="103">
        <v>380.1</v>
      </c>
      <c r="G279" s="112"/>
      <c r="J279" s="30"/>
      <c r="K279" s="31"/>
      <c r="L279" s="33"/>
      <c r="M279" s="33"/>
      <c r="N279" s="32"/>
    </row>
    <row r="280" spans="1:20" ht="12.75" customHeight="1" x14ac:dyDescent="0.25">
      <c r="A280" s="155"/>
      <c r="B280" s="129" t="s">
        <v>16</v>
      </c>
      <c r="C280" s="167"/>
      <c r="D280" s="103">
        <f t="shared" si="157"/>
        <v>251.6</v>
      </c>
      <c r="E280" s="103">
        <f>245.9+4.2</f>
        <v>250.1</v>
      </c>
      <c r="F280" s="103">
        <v>181.4</v>
      </c>
      <c r="G280" s="103">
        <v>1.5</v>
      </c>
      <c r="J280" s="30"/>
      <c r="K280" s="31"/>
      <c r="L280" s="33"/>
      <c r="M280" s="33"/>
      <c r="N280" s="32"/>
    </row>
    <row r="281" spans="1:20" ht="12.75" customHeight="1" x14ac:dyDescent="0.25">
      <c r="A281" s="155"/>
      <c r="B281" s="121" t="s">
        <v>24</v>
      </c>
      <c r="C281" s="168"/>
      <c r="D281" s="103">
        <f t="shared" si="157"/>
        <v>16.3</v>
      </c>
      <c r="E281" s="103">
        <v>16.3</v>
      </c>
      <c r="F281" s="103"/>
      <c r="G281" s="112"/>
      <c r="J281" s="30"/>
      <c r="K281" s="31"/>
      <c r="L281" s="33"/>
      <c r="M281" s="33"/>
      <c r="N281" s="32"/>
    </row>
    <row r="282" spans="1:20" ht="18" customHeight="1" x14ac:dyDescent="0.25">
      <c r="A282" s="154" t="s">
        <v>90</v>
      </c>
      <c r="B282" s="93" t="s">
        <v>91</v>
      </c>
      <c r="C282" s="90"/>
      <c r="D282" s="89">
        <f t="shared" ref="D282" si="167">SUM(G282+E282)</f>
        <v>563.1</v>
      </c>
      <c r="E282" s="89">
        <f t="shared" ref="E282" si="168">SUM(E283+E285)</f>
        <v>563.1</v>
      </c>
      <c r="F282" s="89">
        <f t="shared" ref="F282" si="169">SUM(F283+F285)</f>
        <v>439.5</v>
      </c>
      <c r="G282" s="89">
        <f>SUM(G283+G285)</f>
        <v>0</v>
      </c>
      <c r="J282" s="30"/>
      <c r="K282" s="31"/>
      <c r="L282" s="33"/>
      <c r="M282" s="33"/>
      <c r="N282" s="32"/>
    </row>
    <row r="283" spans="1:20" ht="15" customHeight="1" x14ac:dyDescent="0.25">
      <c r="A283" s="154"/>
      <c r="B283" s="69" t="s">
        <v>155</v>
      </c>
      <c r="C283" s="68" t="s">
        <v>17</v>
      </c>
      <c r="D283" s="67">
        <f>SUM(D284)</f>
        <v>20</v>
      </c>
      <c r="E283" s="67">
        <f>SUM(E284)</f>
        <v>20</v>
      </c>
      <c r="F283" s="67">
        <f>SUM(F284)</f>
        <v>0</v>
      </c>
      <c r="G283" s="67">
        <f>SUM(G284)</f>
        <v>0</v>
      </c>
      <c r="J283" s="30"/>
      <c r="K283" s="31"/>
      <c r="L283" s="33"/>
      <c r="M283" s="33"/>
      <c r="N283" s="32"/>
    </row>
    <row r="284" spans="1:20" ht="12.75" customHeight="1" x14ac:dyDescent="0.25">
      <c r="A284" s="154"/>
      <c r="B284" s="13" t="s">
        <v>21</v>
      </c>
      <c r="C284" s="21"/>
      <c r="D284" s="11">
        <f t="shared" si="157"/>
        <v>20</v>
      </c>
      <c r="E284" s="11">
        <v>20</v>
      </c>
      <c r="F284" s="11"/>
      <c r="G284" s="29"/>
      <c r="J284" s="30"/>
      <c r="K284" s="31"/>
      <c r="L284" s="33"/>
      <c r="M284" s="33"/>
      <c r="N284" s="32"/>
    </row>
    <row r="285" spans="1:20" ht="30.75" customHeight="1" x14ac:dyDescent="0.25">
      <c r="A285" s="154"/>
      <c r="B285" s="86" t="s">
        <v>146</v>
      </c>
      <c r="C285" s="72" t="s">
        <v>25</v>
      </c>
      <c r="D285" s="75">
        <f t="shared" ref="D285" si="170">SUM(D286:D289)</f>
        <v>543.1</v>
      </c>
      <c r="E285" s="75">
        <f t="shared" ref="E285" si="171">SUM(E286:E289)</f>
        <v>543.1</v>
      </c>
      <c r="F285" s="75">
        <f t="shared" ref="F285" si="172">SUM(F286:F289)</f>
        <v>439.5</v>
      </c>
      <c r="G285" s="75">
        <f>SUM(G286:G289)</f>
        <v>0</v>
      </c>
      <c r="J285" s="30"/>
      <c r="K285" s="31"/>
      <c r="L285" s="33"/>
      <c r="M285" s="33"/>
      <c r="N285" s="32"/>
    </row>
    <row r="286" spans="1:20" ht="12.75" customHeight="1" x14ac:dyDescent="0.25">
      <c r="A286" s="155"/>
      <c r="B286" s="82" t="s">
        <v>68</v>
      </c>
      <c r="C286" s="156"/>
      <c r="D286" s="103">
        <f t="shared" si="157"/>
        <v>2.1</v>
      </c>
      <c r="E286" s="103">
        <v>2.1</v>
      </c>
      <c r="F286" s="103"/>
      <c r="G286" s="103"/>
      <c r="J286" s="30"/>
      <c r="K286" s="31"/>
      <c r="L286" s="32"/>
      <c r="M286" s="32"/>
      <c r="N286" s="32"/>
    </row>
    <row r="287" spans="1:20" ht="12.75" customHeight="1" x14ac:dyDescent="0.25">
      <c r="A287" s="155"/>
      <c r="B287" s="83" t="s">
        <v>28</v>
      </c>
      <c r="C287" s="157"/>
      <c r="D287" s="103">
        <f t="shared" si="157"/>
        <v>286.7</v>
      </c>
      <c r="E287" s="103">
        <v>286.7</v>
      </c>
      <c r="F287" s="103">
        <f>278.9-5</f>
        <v>273.89999999999998</v>
      </c>
      <c r="G287" s="112"/>
      <c r="J287" s="32"/>
      <c r="K287" s="32"/>
      <c r="L287" s="32"/>
      <c r="M287" s="32"/>
      <c r="N287" s="36"/>
      <c r="O287" s="30"/>
      <c r="P287" s="31"/>
      <c r="Q287" s="33"/>
      <c r="R287" s="33"/>
      <c r="S287" s="33"/>
      <c r="T287" s="33"/>
    </row>
    <row r="288" spans="1:20" ht="12.75" customHeight="1" x14ac:dyDescent="0.25">
      <c r="A288" s="155"/>
      <c r="B288" s="83" t="s">
        <v>16</v>
      </c>
      <c r="C288" s="157"/>
      <c r="D288" s="103">
        <f t="shared" si="157"/>
        <v>250.6</v>
      </c>
      <c r="E288" s="103">
        <v>250.6</v>
      </c>
      <c r="F288" s="103">
        <f>185.5-19.9</f>
        <v>165.6</v>
      </c>
      <c r="G288" s="112"/>
      <c r="J288" s="32"/>
      <c r="K288" s="32"/>
      <c r="L288" s="32"/>
      <c r="M288" s="32"/>
      <c r="N288" s="36"/>
      <c r="O288" s="30"/>
      <c r="P288" s="31"/>
      <c r="Q288" s="33"/>
      <c r="R288" s="33"/>
      <c r="S288" s="33"/>
      <c r="T288" s="33"/>
    </row>
    <row r="289" spans="1:20" ht="12.75" customHeight="1" x14ac:dyDescent="0.25">
      <c r="A289" s="155"/>
      <c r="B289" s="84" t="s">
        <v>24</v>
      </c>
      <c r="C289" s="158"/>
      <c r="D289" s="103">
        <f t="shared" si="157"/>
        <v>3.7</v>
      </c>
      <c r="E289" s="103">
        <v>3.7</v>
      </c>
      <c r="F289" s="103"/>
      <c r="G289" s="112"/>
      <c r="J289" s="32"/>
      <c r="K289" s="32"/>
      <c r="L289" s="32"/>
      <c r="M289" s="32"/>
      <c r="N289" s="36"/>
      <c r="O289" s="30"/>
      <c r="P289" s="31"/>
      <c r="Q289" s="33"/>
      <c r="R289" s="33"/>
      <c r="S289" s="33"/>
      <c r="T289" s="33"/>
    </row>
    <row r="290" spans="1:20" ht="18" customHeight="1" x14ac:dyDescent="0.25">
      <c r="A290" s="154" t="s">
        <v>92</v>
      </c>
      <c r="B290" s="93" t="s">
        <v>93</v>
      </c>
      <c r="C290" s="90"/>
      <c r="D290" s="89">
        <f t="shared" ref="D290" si="173">SUM(G290+E290)</f>
        <v>254.6</v>
      </c>
      <c r="E290" s="89">
        <f t="shared" ref="E290" si="174">SUM(E291+E293)</f>
        <v>254.6</v>
      </c>
      <c r="F290" s="89">
        <f t="shared" ref="F290" si="175">SUM(F291+F293)</f>
        <v>202</v>
      </c>
      <c r="G290" s="89">
        <f>SUM(G291+G293)</f>
        <v>0</v>
      </c>
      <c r="N290" s="36"/>
      <c r="O290" s="30"/>
      <c r="P290" s="31"/>
      <c r="Q290" s="33"/>
      <c r="R290" s="33"/>
      <c r="S290" s="33"/>
      <c r="T290" s="33"/>
    </row>
    <row r="291" spans="1:20" ht="15" customHeight="1" x14ac:dyDescent="0.25">
      <c r="A291" s="154"/>
      <c r="B291" s="69" t="s">
        <v>155</v>
      </c>
      <c r="C291" s="68" t="s">
        <v>17</v>
      </c>
      <c r="D291" s="111">
        <f>SUM(D292)</f>
        <v>4.3</v>
      </c>
      <c r="E291" s="111">
        <f>SUM(E292)</f>
        <v>4.3</v>
      </c>
      <c r="F291" s="111">
        <f>SUM(F292)</f>
        <v>0</v>
      </c>
      <c r="G291" s="111">
        <f>SUM(G292)</f>
        <v>0</v>
      </c>
      <c r="N291" s="36"/>
      <c r="O291" s="30"/>
      <c r="P291" s="31"/>
      <c r="Q291" s="33"/>
      <c r="R291" s="33"/>
      <c r="S291" s="33"/>
      <c r="T291" s="33"/>
    </row>
    <row r="292" spans="1:20" ht="12.95" customHeight="1" x14ac:dyDescent="0.25">
      <c r="A292" s="154"/>
      <c r="B292" s="13" t="s">
        <v>21</v>
      </c>
      <c r="C292" s="21"/>
      <c r="D292" s="103">
        <f t="shared" si="157"/>
        <v>4.3</v>
      </c>
      <c r="E292" s="103">
        <v>4.3</v>
      </c>
      <c r="F292" s="103"/>
      <c r="G292" s="128"/>
      <c r="N292" s="36"/>
      <c r="O292" s="30"/>
      <c r="P292" s="31"/>
      <c r="Q292" s="33"/>
      <c r="R292" s="33"/>
      <c r="S292" s="33"/>
      <c r="T292" s="33"/>
    </row>
    <row r="293" spans="1:20" ht="30.75" customHeight="1" x14ac:dyDescent="0.25">
      <c r="A293" s="154"/>
      <c r="B293" s="86" t="s">
        <v>166</v>
      </c>
      <c r="C293" s="72" t="s">
        <v>25</v>
      </c>
      <c r="D293" s="110">
        <f t="shared" ref="D293" si="176">SUM(D294:D297)</f>
        <v>250.29999999999998</v>
      </c>
      <c r="E293" s="110">
        <f t="shared" ref="E293" si="177">SUM(E294:E297)</f>
        <v>250.29999999999998</v>
      </c>
      <c r="F293" s="110">
        <f t="shared" ref="F293" si="178">SUM(F294:F297)</f>
        <v>202</v>
      </c>
      <c r="G293" s="110">
        <f>SUM(G294:G297)</f>
        <v>0</v>
      </c>
      <c r="N293" s="36"/>
      <c r="O293" s="30"/>
      <c r="P293" s="31"/>
      <c r="Q293" s="33"/>
      <c r="R293" s="33"/>
      <c r="S293" s="33"/>
      <c r="T293" s="33"/>
    </row>
    <row r="294" spans="1:20" ht="12.95" customHeight="1" x14ac:dyDescent="0.25">
      <c r="A294" s="155"/>
      <c r="B294" s="82" t="s">
        <v>68</v>
      </c>
      <c r="C294" s="156"/>
      <c r="D294" s="103">
        <f t="shared" si="157"/>
        <v>0.5</v>
      </c>
      <c r="E294" s="103">
        <v>0.5</v>
      </c>
      <c r="F294" s="103"/>
      <c r="G294" s="112"/>
      <c r="N294" s="36"/>
      <c r="O294" s="30"/>
      <c r="P294" s="31"/>
      <c r="Q294" s="33"/>
      <c r="R294" s="33"/>
      <c r="S294" s="33"/>
      <c r="T294" s="33"/>
    </row>
    <row r="295" spans="1:20" ht="12.95" customHeight="1" x14ac:dyDescent="0.25">
      <c r="A295" s="155"/>
      <c r="B295" s="83" t="s">
        <v>28</v>
      </c>
      <c r="C295" s="157"/>
      <c r="D295" s="103">
        <f t="shared" si="157"/>
        <v>95.5</v>
      </c>
      <c r="E295" s="103">
        <v>95.5</v>
      </c>
      <c r="F295" s="103">
        <v>92.6</v>
      </c>
      <c r="G295" s="112"/>
      <c r="N295" s="36"/>
      <c r="O295" s="30"/>
      <c r="P295" s="31"/>
      <c r="Q295" s="33"/>
      <c r="R295" s="33"/>
      <c r="S295" s="33"/>
      <c r="T295" s="33"/>
    </row>
    <row r="296" spans="1:20" ht="12.95" customHeight="1" x14ac:dyDescent="0.25">
      <c r="A296" s="155"/>
      <c r="B296" s="83" t="s">
        <v>16</v>
      </c>
      <c r="C296" s="157"/>
      <c r="D296" s="103">
        <f t="shared" si="157"/>
        <v>149.6</v>
      </c>
      <c r="E296" s="103">
        <v>149.6</v>
      </c>
      <c r="F296" s="103">
        <f>127-17.6</f>
        <v>109.4</v>
      </c>
      <c r="G296" s="112"/>
      <c r="N296" s="36"/>
      <c r="O296" s="30"/>
      <c r="P296" s="31"/>
      <c r="Q296" s="33"/>
      <c r="R296" s="33"/>
      <c r="S296" s="33"/>
      <c r="T296" s="33"/>
    </row>
    <row r="297" spans="1:20" ht="12.95" customHeight="1" x14ac:dyDescent="0.25">
      <c r="A297" s="155"/>
      <c r="B297" s="84" t="s">
        <v>24</v>
      </c>
      <c r="C297" s="158"/>
      <c r="D297" s="103">
        <f t="shared" si="157"/>
        <v>4.7</v>
      </c>
      <c r="E297" s="103">
        <v>4.7</v>
      </c>
      <c r="F297" s="103"/>
      <c r="G297" s="112"/>
      <c r="N297" s="36"/>
      <c r="O297" s="30"/>
      <c r="P297" s="31"/>
      <c r="Q297" s="33"/>
      <c r="R297" s="33"/>
      <c r="S297" s="33"/>
      <c r="T297" s="33"/>
    </row>
    <row r="298" spans="1:20" ht="18" customHeight="1" x14ac:dyDescent="0.25">
      <c r="A298" s="154" t="s">
        <v>94</v>
      </c>
      <c r="B298" s="93" t="s">
        <v>95</v>
      </c>
      <c r="C298" s="90"/>
      <c r="D298" s="89">
        <f t="shared" ref="D298" si="179">SUM(G298+E298)</f>
        <v>452.59999999999997</v>
      </c>
      <c r="E298" s="89">
        <f t="shared" ref="E298" si="180">SUM(E299+E301)</f>
        <v>451.09999999999997</v>
      </c>
      <c r="F298" s="89">
        <f t="shared" ref="F298" si="181">SUM(F299+F301)</f>
        <v>377.3</v>
      </c>
      <c r="G298" s="89">
        <f>SUM(G299+G301)</f>
        <v>1.5</v>
      </c>
      <c r="N298" s="36"/>
      <c r="O298" s="30"/>
      <c r="P298" s="31"/>
      <c r="Q298" s="33"/>
      <c r="R298" s="33"/>
      <c r="S298" s="33"/>
      <c r="T298" s="33"/>
    </row>
    <row r="299" spans="1:20" ht="15" customHeight="1" x14ac:dyDescent="0.25">
      <c r="A299" s="154"/>
      <c r="B299" s="69" t="s">
        <v>155</v>
      </c>
      <c r="C299" s="68" t="s">
        <v>17</v>
      </c>
      <c r="D299" s="111">
        <f>SUM(D300)</f>
        <v>8</v>
      </c>
      <c r="E299" s="111">
        <f>SUM(E300)</f>
        <v>8</v>
      </c>
      <c r="F299" s="111">
        <f>SUM(F300)</f>
        <v>0</v>
      </c>
      <c r="G299" s="111">
        <f>SUM(G300)</f>
        <v>0</v>
      </c>
      <c r="N299" s="36"/>
      <c r="O299" s="30"/>
      <c r="P299" s="31"/>
      <c r="Q299" s="33"/>
      <c r="R299" s="33"/>
      <c r="S299" s="33"/>
      <c r="T299" s="33"/>
    </row>
    <row r="300" spans="1:20" ht="12.75" customHeight="1" x14ac:dyDescent="0.25">
      <c r="A300" s="154"/>
      <c r="B300" s="13" t="s">
        <v>21</v>
      </c>
      <c r="C300" s="21" t="s">
        <v>17</v>
      </c>
      <c r="D300" s="103">
        <f t="shared" si="157"/>
        <v>8</v>
      </c>
      <c r="E300" s="103">
        <v>8</v>
      </c>
      <c r="F300" s="103"/>
      <c r="G300" s="127"/>
      <c r="N300" s="36"/>
      <c r="O300" s="30"/>
      <c r="P300" s="31"/>
      <c r="Q300" s="33"/>
      <c r="R300" s="33"/>
      <c r="S300" s="33"/>
      <c r="T300" s="33"/>
    </row>
    <row r="301" spans="1:20" ht="30.75" customHeight="1" x14ac:dyDescent="0.25">
      <c r="A301" s="154"/>
      <c r="B301" s="86" t="s">
        <v>161</v>
      </c>
      <c r="C301" s="72" t="s">
        <v>25</v>
      </c>
      <c r="D301" s="110">
        <f t="shared" ref="D301" si="182">SUM(D302:D305)</f>
        <v>444.59999999999997</v>
      </c>
      <c r="E301" s="110">
        <f t="shared" ref="E301" si="183">SUM(E302:E305)</f>
        <v>443.09999999999997</v>
      </c>
      <c r="F301" s="110">
        <f t="shared" ref="F301" si="184">SUM(F302:F305)</f>
        <v>377.3</v>
      </c>
      <c r="G301" s="110">
        <f>SUM(G302:G305)</f>
        <v>1.5</v>
      </c>
      <c r="N301" s="36"/>
      <c r="O301" s="30"/>
      <c r="P301" s="31"/>
      <c r="Q301" s="33"/>
      <c r="R301" s="33"/>
      <c r="S301" s="33"/>
      <c r="T301" s="33"/>
    </row>
    <row r="302" spans="1:20" ht="12.75" customHeight="1" x14ac:dyDescent="0.25">
      <c r="A302" s="155"/>
      <c r="B302" s="82" t="s">
        <v>68</v>
      </c>
      <c r="C302" s="156" t="s">
        <v>25</v>
      </c>
      <c r="D302" s="103">
        <f t="shared" si="157"/>
        <v>1.6</v>
      </c>
      <c r="E302" s="103">
        <v>1.6</v>
      </c>
      <c r="F302" s="103"/>
      <c r="G302" s="103"/>
      <c r="N302" s="36"/>
      <c r="O302" s="30"/>
      <c r="P302" s="31"/>
      <c r="Q302" s="33"/>
      <c r="R302" s="33"/>
      <c r="S302" s="33"/>
      <c r="T302" s="33"/>
    </row>
    <row r="303" spans="1:20" ht="12.75" customHeight="1" x14ac:dyDescent="0.25">
      <c r="A303" s="155"/>
      <c r="B303" s="83" t="s">
        <v>28</v>
      </c>
      <c r="C303" s="157"/>
      <c r="D303" s="103">
        <f t="shared" si="157"/>
        <v>202.5</v>
      </c>
      <c r="E303" s="103">
        <v>202.5</v>
      </c>
      <c r="F303" s="103">
        <v>196.5</v>
      </c>
      <c r="G303" s="112"/>
      <c r="N303" s="36"/>
      <c r="O303" s="30"/>
      <c r="P303" s="31"/>
      <c r="Q303" s="33"/>
      <c r="R303" s="33"/>
      <c r="S303" s="33"/>
      <c r="T303" s="33"/>
    </row>
    <row r="304" spans="1:20" ht="12.75" customHeight="1" x14ac:dyDescent="0.25">
      <c r="A304" s="155"/>
      <c r="B304" s="83" t="s">
        <v>16</v>
      </c>
      <c r="C304" s="157"/>
      <c r="D304" s="103">
        <f t="shared" si="157"/>
        <v>219.79999999999998</v>
      </c>
      <c r="E304" s="103">
        <f>209.1+9.2</f>
        <v>218.29999999999998</v>
      </c>
      <c r="F304" s="103">
        <v>180.8</v>
      </c>
      <c r="G304" s="103">
        <v>1.5</v>
      </c>
      <c r="N304" s="36"/>
      <c r="O304" s="30"/>
      <c r="P304" s="31"/>
      <c r="Q304" s="33"/>
      <c r="R304" s="33"/>
      <c r="S304" s="33"/>
      <c r="T304" s="33"/>
    </row>
    <row r="305" spans="1:20" ht="12.75" customHeight="1" x14ac:dyDescent="0.25">
      <c r="A305" s="155"/>
      <c r="B305" s="84" t="s">
        <v>24</v>
      </c>
      <c r="C305" s="158"/>
      <c r="D305" s="103">
        <f t="shared" si="157"/>
        <v>20.7</v>
      </c>
      <c r="E305" s="103">
        <v>20.7</v>
      </c>
      <c r="F305" s="103"/>
      <c r="G305" s="112"/>
      <c r="N305" s="36"/>
      <c r="O305" s="30"/>
      <c r="P305" s="31"/>
      <c r="Q305" s="33"/>
      <c r="R305" s="33"/>
      <c r="S305" s="33"/>
      <c r="T305" s="33"/>
    </row>
    <row r="306" spans="1:20" ht="18" customHeight="1" x14ac:dyDescent="0.25">
      <c r="A306" s="154" t="s">
        <v>96</v>
      </c>
      <c r="B306" s="93" t="s">
        <v>97</v>
      </c>
      <c r="C306" s="90"/>
      <c r="D306" s="141">
        <f t="shared" ref="D306" si="185">SUM(G306+E306)</f>
        <v>685.69999999999993</v>
      </c>
      <c r="E306" s="141">
        <f t="shared" ref="E306" si="186">SUM(E307+E309)</f>
        <v>684.19999999999993</v>
      </c>
      <c r="F306" s="141">
        <f t="shared" ref="F306" si="187">SUM(F307+F309)</f>
        <v>556</v>
      </c>
      <c r="G306" s="141">
        <f>SUM(G307+G309)</f>
        <v>1.5</v>
      </c>
      <c r="J306" s="37"/>
      <c r="K306" s="37"/>
      <c r="L306" s="28"/>
      <c r="M306" s="28"/>
      <c r="N306" s="28"/>
      <c r="O306" s="28"/>
      <c r="P306" s="31"/>
      <c r="Q306" s="33"/>
      <c r="R306" s="33"/>
      <c r="S306" s="33"/>
      <c r="T306" s="33"/>
    </row>
    <row r="307" spans="1:20" ht="15" customHeight="1" x14ac:dyDescent="0.25">
      <c r="A307" s="154"/>
      <c r="B307" s="69" t="s">
        <v>155</v>
      </c>
      <c r="C307" s="68" t="s">
        <v>17</v>
      </c>
      <c r="D307" s="111">
        <f>SUM(D308)</f>
        <v>17</v>
      </c>
      <c r="E307" s="111">
        <f>SUM(E308)</f>
        <v>17</v>
      </c>
      <c r="F307" s="111">
        <f>SUM(F308)</f>
        <v>0</v>
      </c>
      <c r="G307" s="111">
        <f>SUM(G308)</f>
        <v>0</v>
      </c>
      <c r="J307" s="37"/>
      <c r="K307" s="37"/>
      <c r="L307" s="28"/>
      <c r="M307" s="28"/>
      <c r="N307" s="28"/>
      <c r="O307" s="28"/>
      <c r="P307" s="31"/>
      <c r="Q307" s="33"/>
      <c r="R307" s="33"/>
      <c r="S307" s="33"/>
      <c r="T307" s="33"/>
    </row>
    <row r="308" spans="1:20" ht="12.75" customHeight="1" x14ac:dyDescent="0.25">
      <c r="A308" s="154"/>
      <c r="B308" s="13" t="s">
        <v>21</v>
      </c>
      <c r="C308" s="21"/>
      <c r="D308" s="103">
        <f t="shared" si="157"/>
        <v>17</v>
      </c>
      <c r="E308" s="103">
        <v>17</v>
      </c>
      <c r="F308" s="103"/>
      <c r="G308" s="127"/>
      <c r="J308" s="37"/>
      <c r="K308" s="37"/>
      <c r="L308" s="28"/>
      <c r="M308" s="28"/>
      <c r="N308" s="28"/>
      <c r="O308" s="28"/>
      <c r="P308" s="31"/>
      <c r="Q308" s="33"/>
      <c r="R308" s="33"/>
      <c r="S308" s="33"/>
      <c r="T308" s="33"/>
    </row>
    <row r="309" spans="1:20" ht="30.75" customHeight="1" x14ac:dyDescent="0.25">
      <c r="A309" s="154"/>
      <c r="B309" s="86" t="s">
        <v>161</v>
      </c>
      <c r="C309" s="72" t="s">
        <v>25</v>
      </c>
      <c r="D309" s="110">
        <f t="shared" ref="D309:F309" si="188">SUM(D310:D314)</f>
        <v>668.69999999999993</v>
      </c>
      <c r="E309" s="110">
        <f t="shared" si="188"/>
        <v>667.19999999999993</v>
      </c>
      <c r="F309" s="110">
        <f t="shared" si="188"/>
        <v>556</v>
      </c>
      <c r="G309" s="110">
        <f>SUM(G310:G314)</f>
        <v>1.5</v>
      </c>
      <c r="J309" s="37"/>
      <c r="K309" s="37"/>
      <c r="L309" s="28"/>
      <c r="M309" s="28"/>
      <c r="N309" s="28"/>
      <c r="O309" s="28"/>
      <c r="P309" s="31"/>
      <c r="Q309" s="33"/>
      <c r="R309" s="33"/>
      <c r="S309" s="33"/>
      <c r="T309" s="33"/>
    </row>
    <row r="310" spans="1:20" ht="12.75" customHeight="1" x14ac:dyDescent="0.25">
      <c r="A310" s="155"/>
      <c r="B310" s="82" t="s">
        <v>68</v>
      </c>
      <c r="C310" s="156"/>
      <c r="D310" s="103">
        <f t="shared" si="157"/>
        <v>2.2000000000000002</v>
      </c>
      <c r="E310" s="103">
        <v>2.2000000000000002</v>
      </c>
      <c r="F310" s="103"/>
      <c r="G310" s="103"/>
      <c r="J310" s="37"/>
      <c r="K310" s="37"/>
      <c r="L310" s="28"/>
      <c r="M310" s="28"/>
      <c r="N310" s="28"/>
      <c r="O310" s="28"/>
      <c r="P310" s="31"/>
      <c r="Q310" s="33"/>
      <c r="R310" s="33"/>
      <c r="S310" s="33"/>
      <c r="T310" s="33"/>
    </row>
    <row r="311" spans="1:20" ht="12.75" customHeight="1" x14ac:dyDescent="0.25">
      <c r="A311" s="155"/>
      <c r="B311" s="83" t="s">
        <v>73</v>
      </c>
      <c r="C311" s="157"/>
      <c r="D311" s="103">
        <f t="shared" si="157"/>
        <v>7.2</v>
      </c>
      <c r="E311" s="103">
        <v>7.2</v>
      </c>
      <c r="F311" s="103">
        <v>7.1</v>
      </c>
      <c r="G311" s="103"/>
      <c r="J311" s="37"/>
      <c r="K311" s="37"/>
      <c r="L311" s="28"/>
      <c r="M311" s="28"/>
      <c r="N311" s="28"/>
      <c r="O311" s="28"/>
      <c r="P311" s="31"/>
      <c r="Q311" s="33"/>
      <c r="R311" s="33"/>
      <c r="S311" s="33"/>
      <c r="T311" s="33"/>
    </row>
    <row r="312" spans="1:20" ht="12.75" customHeight="1" x14ac:dyDescent="0.25">
      <c r="A312" s="155"/>
      <c r="B312" s="83" t="s">
        <v>28</v>
      </c>
      <c r="C312" s="157"/>
      <c r="D312" s="103">
        <f t="shared" si="157"/>
        <v>291.60000000000002</v>
      </c>
      <c r="E312" s="103">
        <v>291.60000000000002</v>
      </c>
      <c r="F312" s="103">
        <v>281.39999999999998</v>
      </c>
      <c r="G312" s="112"/>
      <c r="J312" s="37"/>
      <c r="K312" s="37"/>
      <c r="L312" s="28"/>
      <c r="M312" s="28"/>
      <c r="N312" s="28"/>
      <c r="O312" s="28"/>
      <c r="P312" s="31"/>
      <c r="Q312" s="33"/>
      <c r="R312" s="33"/>
      <c r="S312" s="33"/>
      <c r="T312" s="33"/>
    </row>
    <row r="313" spans="1:20" ht="12.75" customHeight="1" x14ac:dyDescent="0.25">
      <c r="A313" s="155"/>
      <c r="B313" s="83" t="s">
        <v>16</v>
      </c>
      <c r="C313" s="157"/>
      <c r="D313" s="103">
        <f t="shared" si="157"/>
        <v>316.3</v>
      </c>
      <c r="E313" s="103">
        <v>314.8</v>
      </c>
      <c r="F313" s="103">
        <v>267.5</v>
      </c>
      <c r="G313" s="103">
        <v>1.5</v>
      </c>
      <c r="J313" s="37"/>
      <c r="K313" s="37"/>
      <c r="L313" s="28"/>
      <c r="M313" s="28"/>
      <c r="N313" s="28"/>
      <c r="O313" s="28"/>
      <c r="P313" s="31"/>
      <c r="Q313" s="33"/>
      <c r="R313" s="33"/>
      <c r="S313" s="33"/>
      <c r="T313" s="33"/>
    </row>
    <row r="314" spans="1:20" ht="12.75" customHeight="1" x14ac:dyDescent="0.25">
      <c r="A314" s="155"/>
      <c r="B314" s="84" t="s">
        <v>24</v>
      </c>
      <c r="C314" s="158"/>
      <c r="D314" s="103">
        <f t="shared" si="157"/>
        <v>51.4</v>
      </c>
      <c r="E314" s="103">
        <v>51.4</v>
      </c>
      <c r="F314" s="103"/>
      <c r="G314" s="112"/>
      <c r="J314" s="37"/>
      <c r="K314" s="37"/>
      <c r="L314" s="28"/>
      <c r="M314" s="28"/>
      <c r="N314" s="28"/>
      <c r="O314" s="28"/>
      <c r="P314" s="31"/>
      <c r="Q314" s="33"/>
      <c r="R314" s="33"/>
      <c r="S314" s="33"/>
      <c r="T314" s="33"/>
    </row>
    <row r="315" spans="1:20" ht="18" customHeight="1" x14ac:dyDescent="0.25">
      <c r="A315" s="154" t="s">
        <v>98</v>
      </c>
      <c r="B315" s="93" t="s">
        <v>99</v>
      </c>
      <c r="C315" s="90"/>
      <c r="D315" s="115">
        <f t="shared" ref="D315" si="189">SUM(G315+E315)</f>
        <v>422.40000000000003</v>
      </c>
      <c r="E315" s="115">
        <f t="shared" ref="E315" si="190">SUM(E316+E318)</f>
        <v>422.40000000000003</v>
      </c>
      <c r="F315" s="115">
        <f t="shared" ref="F315" si="191">SUM(F316+F318)</f>
        <v>361.6</v>
      </c>
      <c r="G315" s="115">
        <f>SUM(G316+G318)</f>
        <v>0</v>
      </c>
      <c r="J315" s="37"/>
      <c r="K315" s="37"/>
      <c r="L315" s="28"/>
      <c r="M315" s="28"/>
      <c r="N315" s="28"/>
      <c r="O315" s="28"/>
      <c r="P315" s="31"/>
      <c r="Q315" s="33"/>
      <c r="R315" s="33"/>
      <c r="S315" s="33"/>
      <c r="T315" s="33"/>
    </row>
    <row r="316" spans="1:20" ht="15" customHeight="1" x14ac:dyDescent="0.25">
      <c r="A316" s="154"/>
      <c r="B316" s="69" t="s">
        <v>155</v>
      </c>
      <c r="C316" s="68" t="s">
        <v>17</v>
      </c>
      <c r="D316" s="111">
        <f>SUM(D317)</f>
        <v>6.3</v>
      </c>
      <c r="E316" s="111">
        <f>SUM(E317)</f>
        <v>6.3</v>
      </c>
      <c r="F316" s="111">
        <f>SUM(F317)</f>
        <v>0</v>
      </c>
      <c r="G316" s="111">
        <f>SUM(G317)</f>
        <v>0</v>
      </c>
      <c r="J316" s="37"/>
      <c r="K316" s="37"/>
      <c r="L316" s="28"/>
      <c r="M316" s="28"/>
      <c r="N316" s="28"/>
      <c r="O316" s="28"/>
      <c r="P316" s="31"/>
      <c r="Q316" s="33"/>
      <c r="R316" s="33"/>
      <c r="S316" s="33"/>
      <c r="T316" s="33"/>
    </row>
    <row r="317" spans="1:20" ht="12.75" customHeight="1" x14ac:dyDescent="0.25">
      <c r="A317" s="154"/>
      <c r="B317" s="13" t="s">
        <v>21</v>
      </c>
      <c r="C317" s="21"/>
      <c r="D317" s="103">
        <f t="shared" si="157"/>
        <v>6.3</v>
      </c>
      <c r="E317" s="103">
        <v>6.3</v>
      </c>
      <c r="F317" s="103"/>
      <c r="G317" s="127"/>
      <c r="J317" s="37"/>
      <c r="K317" s="37"/>
      <c r="L317" s="28"/>
      <c r="M317" s="28"/>
      <c r="N317" s="28"/>
      <c r="O317" s="28"/>
      <c r="P317" s="31"/>
      <c r="Q317" s="33"/>
      <c r="R317" s="33"/>
      <c r="S317" s="33"/>
      <c r="T317" s="33"/>
    </row>
    <row r="318" spans="1:20" ht="30.75" customHeight="1" x14ac:dyDescent="0.25">
      <c r="A318" s="154"/>
      <c r="B318" s="86" t="s">
        <v>161</v>
      </c>
      <c r="C318" s="72" t="s">
        <v>25</v>
      </c>
      <c r="D318" s="110">
        <f t="shared" ref="D318:F318" si="192">SUM(D319:D322)</f>
        <v>416.1</v>
      </c>
      <c r="E318" s="110">
        <f t="shared" si="192"/>
        <v>416.1</v>
      </c>
      <c r="F318" s="110">
        <f t="shared" si="192"/>
        <v>361.6</v>
      </c>
      <c r="G318" s="110">
        <f>SUM(G319:G322)</f>
        <v>0</v>
      </c>
      <c r="J318" s="37"/>
      <c r="K318" s="37"/>
      <c r="L318" s="28"/>
      <c r="M318" s="28"/>
      <c r="N318" s="28"/>
      <c r="O318" s="28"/>
      <c r="P318" s="31"/>
      <c r="Q318" s="33"/>
      <c r="R318" s="33"/>
      <c r="S318" s="33"/>
      <c r="T318" s="33"/>
    </row>
    <row r="319" spans="1:20" ht="12.75" customHeight="1" x14ac:dyDescent="0.25">
      <c r="A319" s="155"/>
      <c r="B319" s="82" t="s">
        <v>73</v>
      </c>
      <c r="C319" s="156"/>
      <c r="D319" s="103">
        <f t="shared" si="157"/>
        <v>3.7</v>
      </c>
      <c r="E319" s="103">
        <v>3.7</v>
      </c>
      <c r="F319" s="103">
        <v>3.6</v>
      </c>
      <c r="G319" s="127"/>
      <c r="J319" s="37"/>
      <c r="K319" s="37"/>
      <c r="L319" s="28"/>
      <c r="M319" s="28"/>
      <c r="N319" s="28"/>
      <c r="O319" s="28"/>
      <c r="P319" s="31"/>
      <c r="Q319" s="33"/>
      <c r="R319" s="33"/>
      <c r="S319" s="33"/>
      <c r="T319" s="33"/>
    </row>
    <row r="320" spans="1:20" ht="12.75" customHeight="1" x14ac:dyDescent="0.25">
      <c r="A320" s="155"/>
      <c r="B320" s="83" t="s">
        <v>28</v>
      </c>
      <c r="C320" s="157"/>
      <c r="D320" s="103">
        <f t="shared" si="157"/>
        <v>145</v>
      </c>
      <c r="E320" s="103">
        <v>145</v>
      </c>
      <c r="F320" s="103">
        <v>140.30000000000001</v>
      </c>
      <c r="G320" s="112"/>
      <c r="J320" s="37"/>
      <c r="K320" s="37"/>
      <c r="L320" s="28"/>
      <c r="M320" s="28"/>
      <c r="N320" s="28"/>
      <c r="O320" s="28"/>
      <c r="P320" s="31"/>
      <c r="Q320" s="33"/>
      <c r="R320" s="33"/>
      <c r="S320" s="33"/>
      <c r="T320" s="33"/>
    </row>
    <row r="321" spans="1:22" ht="12.75" customHeight="1" x14ac:dyDescent="0.25">
      <c r="A321" s="155"/>
      <c r="B321" s="83" t="s">
        <v>16</v>
      </c>
      <c r="C321" s="157"/>
      <c r="D321" s="103">
        <f t="shared" si="157"/>
        <v>250.9</v>
      </c>
      <c r="E321" s="103">
        <f>245.5+5.4</f>
        <v>250.9</v>
      </c>
      <c r="F321" s="103">
        <v>217.7</v>
      </c>
      <c r="G321" s="112"/>
      <c r="J321" s="37"/>
      <c r="K321" s="37"/>
      <c r="L321" s="28"/>
      <c r="M321" s="28"/>
      <c r="N321" s="28"/>
      <c r="O321" s="28"/>
      <c r="P321" s="31"/>
      <c r="Q321" s="33"/>
      <c r="R321" s="33"/>
      <c r="S321" s="33"/>
      <c r="T321" s="33"/>
    </row>
    <row r="322" spans="1:22" ht="12.75" customHeight="1" x14ac:dyDescent="0.25">
      <c r="A322" s="155"/>
      <c r="B322" s="84" t="s">
        <v>24</v>
      </c>
      <c r="C322" s="158"/>
      <c r="D322" s="103">
        <f t="shared" si="157"/>
        <v>16.5</v>
      </c>
      <c r="E322" s="103">
        <v>16.5</v>
      </c>
      <c r="F322" s="103"/>
      <c r="G322" s="112"/>
      <c r="J322" s="37"/>
      <c r="K322" s="37"/>
      <c r="L322" s="28"/>
      <c r="M322" s="28"/>
      <c r="N322" s="28"/>
      <c r="O322" s="28"/>
      <c r="P322" s="31"/>
      <c r="Q322" s="33"/>
      <c r="R322" s="33"/>
      <c r="S322" s="33"/>
      <c r="T322" s="33"/>
    </row>
    <row r="323" spans="1:22" ht="18" customHeight="1" x14ac:dyDescent="0.25">
      <c r="A323" s="154" t="s">
        <v>100</v>
      </c>
      <c r="B323" s="93" t="s">
        <v>101</v>
      </c>
      <c r="C323" s="90"/>
      <c r="D323" s="89">
        <f t="shared" ref="D323" si="193">SUM(G323+E323)</f>
        <v>685.6</v>
      </c>
      <c r="E323" s="89">
        <f>SUM(E324+E326)</f>
        <v>685.6</v>
      </c>
      <c r="F323" s="89">
        <f>SUM(F324+F326)</f>
        <v>578.5</v>
      </c>
      <c r="G323" s="89">
        <f>SUM(G324+G326)</f>
        <v>0</v>
      </c>
      <c r="J323" s="37"/>
      <c r="K323" s="37"/>
      <c r="L323" s="37"/>
      <c r="M323" s="37"/>
      <c r="N323" s="37"/>
      <c r="O323" s="37"/>
      <c r="P323" s="31"/>
      <c r="Q323" s="33"/>
      <c r="R323" s="33"/>
      <c r="S323" s="33"/>
      <c r="T323" s="33"/>
    </row>
    <row r="324" spans="1:22" ht="15" customHeight="1" x14ac:dyDescent="0.25">
      <c r="A324" s="154"/>
      <c r="B324" s="69" t="s">
        <v>155</v>
      </c>
      <c r="C324" s="68" t="s">
        <v>17</v>
      </c>
      <c r="D324" s="67">
        <f>SUM(D325)</f>
        <v>6.1</v>
      </c>
      <c r="E324" s="67">
        <f>SUM(E325)</f>
        <v>6.1</v>
      </c>
      <c r="F324" s="67">
        <f>SUM(F325)</f>
        <v>0</v>
      </c>
      <c r="G324" s="67">
        <f>SUM(G325)</f>
        <v>0</v>
      </c>
      <c r="J324" s="37"/>
      <c r="K324" s="37"/>
      <c r="L324" s="37"/>
      <c r="M324" s="37"/>
      <c r="N324" s="37"/>
      <c r="O324" s="37"/>
      <c r="P324" s="31"/>
      <c r="Q324" s="33"/>
      <c r="R324" s="33"/>
      <c r="S324" s="33"/>
      <c r="T324" s="33"/>
    </row>
    <row r="325" spans="1:22" ht="12.75" customHeight="1" x14ac:dyDescent="0.25">
      <c r="A325" s="154"/>
      <c r="B325" s="13" t="s">
        <v>21</v>
      </c>
      <c r="C325" s="21"/>
      <c r="D325" s="11">
        <f t="shared" si="157"/>
        <v>6.1</v>
      </c>
      <c r="E325" s="11">
        <v>6.1</v>
      </c>
      <c r="F325" s="11"/>
      <c r="G325" s="29"/>
      <c r="J325" s="37"/>
      <c r="K325" s="37"/>
      <c r="L325" s="37"/>
      <c r="M325" s="37"/>
      <c r="N325" s="37"/>
      <c r="O325" s="37"/>
      <c r="P325" s="31"/>
      <c r="Q325" s="33"/>
      <c r="R325" s="33"/>
      <c r="S325" s="33"/>
      <c r="T325" s="33"/>
    </row>
    <row r="326" spans="1:22" ht="30.75" customHeight="1" x14ac:dyDescent="0.25">
      <c r="A326" s="154"/>
      <c r="B326" s="86" t="s">
        <v>161</v>
      </c>
      <c r="C326" s="72" t="s">
        <v>25</v>
      </c>
      <c r="D326" s="75">
        <f t="shared" ref="D326:F326" si="194">SUM(D327:D330)</f>
        <v>679.5</v>
      </c>
      <c r="E326" s="75">
        <f t="shared" si="194"/>
        <v>679.5</v>
      </c>
      <c r="F326" s="75">
        <f t="shared" si="194"/>
        <v>578.5</v>
      </c>
      <c r="G326" s="75">
        <f>SUM(G327:G330)</f>
        <v>0</v>
      </c>
      <c r="J326" s="37"/>
      <c r="K326" s="37"/>
      <c r="L326" s="37"/>
      <c r="M326" s="37"/>
      <c r="N326" s="37"/>
      <c r="O326" s="37"/>
      <c r="P326" s="31"/>
      <c r="Q326" s="33"/>
      <c r="R326" s="33"/>
      <c r="S326" s="33"/>
      <c r="T326" s="33"/>
    </row>
    <row r="327" spans="1:22" ht="12.75" customHeight="1" x14ac:dyDescent="0.25">
      <c r="A327" s="155"/>
      <c r="B327" s="82" t="s">
        <v>73</v>
      </c>
      <c r="C327" s="156"/>
      <c r="D327" s="11">
        <f t="shared" si="157"/>
        <v>8.4</v>
      </c>
      <c r="E327" s="11">
        <f>1.8+6.6</f>
        <v>8.4</v>
      </c>
      <c r="F327" s="11">
        <v>1.8</v>
      </c>
      <c r="G327" s="29"/>
      <c r="J327" s="37"/>
      <c r="K327" s="37"/>
      <c r="L327" s="37"/>
      <c r="M327" s="37"/>
      <c r="N327" s="37"/>
      <c r="O327" s="37"/>
      <c r="P327" s="31"/>
      <c r="Q327" s="33"/>
      <c r="R327" s="33"/>
      <c r="S327" s="33"/>
      <c r="T327" s="33"/>
    </row>
    <row r="328" spans="1:22" ht="12.75" customHeight="1" x14ac:dyDescent="0.25">
      <c r="A328" s="155"/>
      <c r="B328" s="83" t="s">
        <v>28</v>
      </c>
      <c r="C328" s="157"/>
      <c r="D328" s="11">
        <f t="shared" si="157"/>
        <v>219.7</v>
      </c>
      <c r="E328" s="11">
        <v>219.7</v>
      </c>
      <c r="F328" s="11">
        <v>213</v>
      </c>
      <c r="G328" s="11"/>
      <c r="J328" s="37"/>
      <c r="K328" s="37"/>
      <c r="L328" s="28"/>
      <c r="M328" s="28"/>
      <c r="N328" s="28"/>
      <c r="O328" s="28"/>
      <c r="P328" s="31"/>
      <c r="Q328" s="33"/>
      <c r="R328" s="33"/>
      <c r="S328" s="33"/>
      <c r="T328" s="33"/>
    </row>
    <row r="329" spans="1:22" ht="12.75" customHeight="1" x14ac:dyDescent="0.25">
      <c r="A329" s="155"/>
      <c r="B329" s="83" t="s">
        <v>16</v>
      </c>
      <c r="C329" s="157"/>
      <c r="D329" s="11">
        <f t="shared" si="157"/>
        <v>417.3</v>
      </c>
      <c r="E329" s="103">
        <f>412.6+3.3+1.4</f>
        <v>417.3</v>
      </c>
      <c r="F329" s="11">
        <v>363.7</v>
      </c>
      <c r="G329" s="16"/>
      <c r="J329" s="37"/>
      <c r="K329" s="37"/>
      <c r="L329" s="28"/>
      <c r="M329" s="28"/>
      <c r="N329" s="28"/>
      <c r="O329" s="28"/>
      <c r="P329" s="31"/>
      <c r="Q329" s="33"/>
      <c r="R329" s="33"/>
      <c r="S329" s="33"/>
      <c r="T329" s="33"/>
    </row>
    <row r="330" spans="1:22" ht="12.75" customHeight="1" x14ac:dyDescent="0.25">
      <c r="A330" s="155"/>
      <c r="B330" s="84" t="s">
        <v>24</v>
      </c>
      <c r="C330" s="158"/>
      <c r="D330" s="11">
        <f t="shared" si="157"/>
        <v>34.1</v>
      </c>
      <c r="E330" s="11">
        <v>34.1</v>
      </c>
      <c r="F330" s="11"/>
      <c r="G330" s="16"/>
      <c r="J330" s="37"/>
      <c r="K330" s="37"/>
      <c r="L330" s="28"/>
      <c r="M330" s="28"/>
      <c r="N330" s="28"/>
      <c r="O330" s="28"/>
      <c r="P330" s="31"/>
      <c r="Q330" s="33"/>
      <c r="R330" s="33"/>
      <c r="S330" s="33"/>
      <c r="T330" s="33"/>
    </row>
    <row r="331" spans="1:22" ht="18" customHeight="1" x14ac:dyDescent="0.25">
      <c r="A331" s="154" t="s">
        <v>102</v>
      </c>
      <c r="B331" s="93" t="s">
        <v>103</v>
      </c>
      <c r="C331" s="90"/>
      <c r="D331" s="89">
        <f t="shared" ref="D331" si="195">SUM(G331+E331)</f>
        <v>375</v>
      </c>
      <c r="E331" s="89">
        <f t="shared" ref="E331" si="196">SUM(E332+E334)</f>
        <v>375</v>
      </c>
      <c r="F331" s="89">
        <f t="shared" ref="F331" si="197">SUM(F332+F334)</f>
        <v>324.10000000000002</v>
      </c>
      <c r="G331" s="89">
        <f>SUM(G332+G334)</f>
        <v>0</v>
      </c>
      <c r="J331" s="32"/>
      <c r="K331" s="32"/>
      <c r="L331" s="32"/>
      <c r="M331" s="32"/>
      <c r="N331" s="36"/>
      <c r="O331" s="30"/>
      <c r="P331" s="31"/>
      <c r="Q331" s="33"/>
      <c r="R331" s="33"/>
      <c r="S331" s="33"/>
      <c r="T331" s="33"/>
    </row>
    <row r="332" spans="1:22" ht="15" customHeight="1" x14ac:dyDescent="0.25">
      <c r="A332" s="154"/>
      <c r="B332" s="69" t="s">
        <v>155</v>
      </c>
      <c r="C332" s="68" t="s">
        <v>17</v>
      </c>
      <c r="D332" s="67">
        <f>SUM(D333)</f>
        <v>3</v>
      </c>
      <c r="E332" s="67">
        <f>SUM(E333)</f>
        <v>3</v>
      </c>
      <c r="F332" s="67">
        <f>SUM(F333)</f>
        <v>0</v>
      </c>
      <c r="G332" s="67">
        <f>SUM(G333)</f>
        <v>0</v>
      </c>
      <c r="J332" s="32"/>
      <c r="K332" s="32"/>
      <c r="L332" s="32"/>
      <c r="M332" s="32"/>
      <c r="N332" s="36"/>
      <c r="O332" s="30"/>
      <c r="P332" s="31"/>
      <c r="Q332" s="33"/>
      <c r="R332" s="33"/>
      <c r="S332" s="33"/>
      <c r="T332" s="33"/>
    </row>
    <row r="333" spans="1:22" ht="12.75" customHeight="1" x14ac:dyDescent="0.25">
      <c r="A333" s="154"/>
      <c r="B333" s="13" t="s">
        <v>21</v>
      </c>
      <c r="C333" s="21"/>
      <c r="D333" s="11">
        <f t="shared" si="157"/>
        <v>3</v>
      </c>
      <c r="E333" s="11">
        <v>3</v>
      </c>
      <c r="F333" s="11"/>
      <c r="G333" s="34"/>
      <c r="N333" s="36"/>
      <c r="O333" s="30"/>
      <c r="P333" s="31"/>
      <c r="Q333" s="33"/>
      <c r="R333" s="33"/>
      <c r="S333" s="33"/>
      <c r="T333" s="33"/>
      <c r="U333" s="32"/>
      <c r="V333" s="32"/>
    </row>
    <row r="334" spans="1:22" ht="30.75" customHeight="1" x14ac:dyDescent="0.25">
      <c r="A334" s="154"/>
      <c r="B334" s="86" t="s">
        <v>161</v>
      </c>
      <c r="C334" s="72" t="s">
        <v>25</v>
      </c>
      <c r="D334" s="75">
        <f t="shared" ref="D334:F334" si="198">SUM(D335:D338)</f>
        <v>372</v>
      </c>
      <c r="E334" s="75">
        <f t="shared" si="198"/>
        <v>372</v>
      </c>
      <c r="F334" s="75">
        <f t="shared" si="198"/>
        <v>324.10000000000002</v>
      </c>
      <c r="G334" s="75">
        <f>SUM(G335:G338)</f>
        <v>0</v>
      </c>
      <c r="N334" s="36"/>
      <c r="O334" s="30"/>
      <c r="P334" s="31"/>
      <c r="Q334" s="33"/>
      <c r="R334" s="33"/>
      <c r="S334" s="33"/>
      <c r="T334" s="33"/>
      <c r="U334" s="32"/>
      <c r="V334" s="32"/>
    </row>
    <row r="335" spans="1:22" ht="12.75" customHeight="1" x14ac:dyDescent="0.25">
      <c r="A335" s="155"/>
      <c r="B335" s="82" t="s">
        <v>73</v>
      </c>
      <c r="C335" s="165"/>
      <c r="D335" s="11">
        <f t="shared" si="157"/>
        <v>7.2</v>
      </c>
      <c r="E335" s="11">
        <v>7.2</v>
      </c>
      <c r="F335" s="11">
        <v>7.1</v>
      </c>
      <c r="G335" s="34"/>
      <c r="N335" s="36"/>
      <c r="O335" s="30"/>
      <c r="P335" s="31"/>
      <c r="Q335" s="33"/>
      <c r="R335" s="33"/>
      <c r="S335" s="33"/>
      <c r="T335" s="33"/>
      <c r="U335" s="32"/>
      <c r="V335" s="32"/>
    </row>
    <row r="336" spans="1:22" ht="12.75" customHeight="1" x14ac:dyDescent="0.25">
      <c r="A336" s="155"/>
      <c r="B336" s="83" t="s">
        <v>28</v>
      </c>
      <c r="C336" s="157"/>
      <c r="D336" s="11">
        <f t="shared" si="157"/>
        <v>122.2</v>
      </c>
      <c r="E336" s="11">
        <v>122.2</v>
      </c>
      <c r="F336" s="11">
        <v>118.4</v>
      </c>
      <c r="G336" s="16"/>
      <c r="N336" s="36"/>
      <c r="O336" s="30"/>
      <c r="P336" s="31"/>
      <c r="Q336" s="33"/>
      <c r="R336" s="33"/>
      <c r="S336" s="33"/>
      <c r="T336" s="33"/>
      <c r="U336" s="32"/>
      <c r="V336" s="32"/>
    </row>
    <row r="337" spans="1:22" ht="12.75" customHeight="1" x14ac:dyDescent="0.25">
      <c r="A337" s="155"/>
      <c r="B337" s="83" t="s">
        <v>16</v>
      </c>
      <c r="C337" s="157"/>
      <c r="D337" s="11">
        <f t="shared" si="157"/>
        <v>230</v>
      </c>
      <c r="E337" s="11">
        <v>230</v>
      </c>
      <c r="F337" s="11">
        <v>198.6</v>
      </c>
      <c r="G337" s="16"/>
      <c r="N337" s="36"/>
      <c r="O337" s="30"/>
      <c r="P337" s="31"/>
      <c r="Q337" s="33"/>
      <c r="R337" s="33"/>
      <c r="S337" s="33"/>
      <c r="T337" s="33"/>
      <c r="U337" s="32"/>
      <c r="V337" s="32"/>
    </row>
    <row r="338" spans="1:22" ht="12.75" customHeight="1" x14ac:dyDescent="0.25">
      <c r="A338" s="155"/>
      <c r="B338" s="84" t="s">
        <v>24</v>
      </c>
      <c r="C338" s="158"/>
      <c r="D338" s="11">
        <f t="shared" si="157"/>
        <v>12.6</v>
      </c>
      <c r="E338" s="11">
        <v>12.6</v>
      </c>
      <c r="F338" s="11"/>
      <c r="G338" s="16"/>
      <c r="N338" s="36"/>
      <c r="O338" s="30"/>
      <c r="P338" s="31"/>
      <c r="Q338" s="33"/>
      <c r="R338" s="33"/>
      <c r="S338" s="33"/>
      <c r="T338" s="33"/>
      <c r="U338" s="32"/>
      <c r="V338" s="32"/>
    </row>
    <row r="339" spans="1:22" ht="18" customHeight="1" x14ac:dyDescent="0.25">
      <c r="A339" s="154" t="s">
        <v>104</v>
      </c>
      <c r="B339" s="93" t="s">
        <v>105</v>
      </c>
      <c r="C339" s="90"/>
      <c r="D339" s="89">
        <f t="shared" ref="D339" si="199">SUM(G339+E339)</f>
        <v>410</v>
      </c>
      <c r="E339" s="89">
        <f t="shared" ref="E339" si="200">SUM(E340+E342)</f>
        <v>410</v>
      </c>
      <c r="F339" s="89">
        <f t="shared" ref="F339" si="201">SUM(F340+F342)</f>
        <v>345.29999999999995</v>
      </c>
      <c r="G339" s="89">
        <f>SUM(G340+G342)</f>
        <v>0</v>
      </c>
      <c r="N339" s="36"/>
      <c r="O339" s="30"/>
      <c r="P339" s="31"/>
      <c r="Q339" s="33"/>
      <c r="R339" s="33"/>
      <c r="S339" s="33"/>
      <c r="T339" s="33"/>
      <c r="U339" s="32"/>
      <c r="V339" s="32"/>
    </row>
    <row r="340" spans="1:22" ht="15" customHeight="1" x14ac:dyDescent="0.25">
      <c r="A340" s="154"/>
      <c r="B340" s="69" t="s">
        <v>155</v>
      </c>
      <c r="C340" s="68" t="s">
        <v>17</v>
      </c>
      <c r="D340" s="67">
        <f>SUM(D341)</f>
        <v>6</v>
      </c>
      <c r="E340" s="67">
        <f>SUM(E341)</f>
        <v>6</v>
      </c>
      <c r="F340" s="67">
        <f>SUM(F341)</f>
        <v>0</v>
      </c>
      <c r="G340" s="67">
        <f>SUM(G341)</f>
        <v>0</v>
      </c>
      <c r="N340" s="36"/>
      <c r="O340" s="30"/>
      <c r="P340" s="31"/>
      <c r="Q340" s="33"/>
      <c r="R340" s="33"/>
      <c r="S340" s="33"/>
      <c r="T340" s="33"/>
      <c r="U340" s="32"/>
      <c r="V340" s="32"/>
    </row>
    <row r="341" spans="1:22" ht="12.75" customHeight="1" x14ac:dyDescent="0.25">
      <c r="A341" s="154"/>
      <c r="B341" s="13" t="s">
        <v>21</v>
      </c>
      <c r="C341" s="21"/>
      <c r="D341" s="11">
        <f t="shared" ref="D341:D401" si="202">SUM(G341+E341)</f>
        <v>6</v>
      </c>
      <c r="E341" s="11">
        <v>6</v>
      </c>
      <c r="F341" s="11"/>
      <c r="G341" s="29"/>
      <c r="N341" s="36"/>
      <c r="O341" s="30"/>
      <c r="P341" s="31"/>
      <c r="Q341" s="33"/>
      <c r="R341" s="33"/>
      <c r="S341" s="33"/>
      <c r="T341" s="33"/>
      <c r="U341" s="32"/>
      <c r="V341" s="32"/>
    </row>
    <row r="342" spans="1:22" ht="30.75" customHeight="1" x14ac:dyDescent="0.25">
      <c r="A342" s="154"/>
      <c r="B342" s="86" t="s">
        <v>161</v>
      </c>
      <c r="C342" s="72" t="s">
        <v>25</v>
      </c>
      <c r="D342" s="75">
        <f t="shared" ref="D342:F342" si="203">SUM(D343:D345)</f>
        <v>404</v>
      </c>
      <c r="E342" s="75">
        <f t="shared" si="203"/>
        <v>404</v>
      </c>
      <c r="F342" s="75">
        <f t="shared" si="203"/>
        <v>345.29999999999995</v>
      </c>
      <c r="G342" s="75">
        <f>SUM(G343:G345)</f>
        <v>0</v>
      </c>
      <c r="N342" s="36"/>
      <c r="O342" s="30"/>
      <c r="P342" s="31"/>
      <c r="Q342" s="33"/>
      <c r="R342" s="33"/>
      <c r="S342" s="33"/>
      <c r="T342" s="33"/>
      <c r="U342" s="32"/>
      <c r="V342" s="32"/>
    </row>
    <row r="343" spans="1:22" ht="12.75" customHeight="1" x14ac:dyDescent="0.25">
      <c r="A343" s="155"/>
      <c r="B343" s="82" t="s">
        <v>28</v>
      </c>
      <c r="C343" s="156"/>
      <c r="D343" s="11">
        <f t="shared" si="202"/>
        <v>147.30000000000001</v>
      </c>
      <c r="E343" s="11">
        <v>147.30000000000001</v>
      </c>
      <c r="F343" s="11">
        <v>142.6</v>
      </c>
      <c r="G343" s="11"/>
      <c r="N343" s="36"/>
      <c r="O343" s="30"/>
      <c r="P343" s="31"/>
      <c r="Q343" s="33"/>
      <c r="R343" s="33"/>
      <c r="S343" s="33"/>
      <c r="T343" s="33"/>
      <c r="U343" s="32"/>
      <c r="V343" s="32"/>
    </row>
    <row r="344" spans="1:22" ht="12.75" customHeight="1" x14ac:dyDescent="0.25">
      <c r="A344" s="155"/>
      <c r="B344" s="83" t="s">
        <v>16</v>
      </c>
      <c r="C344" s="157"/>
      <c r="D344" s="11">
        <f t="shared" si="202"/>
        <v>235.5</v>
      </c>
      <c r="E344" s="11">
        <v>235.5</v>
      </c>
      <c r="F344" s="11">
        <v>202.7</v>
      </c>
      <c r="G344" s="16"/>
      <c r="N344" s="36"/>
      <c r="O344" s="30"/>
      <c r="P344" s="31"/>
      <c r="Q344" s="33"/>
      <c r="R344" s="33"/>
      <c r="S344" s="33"/>
      <c r="T344" s="33"/>
      <c r="U344" s="32"/>
      <c r="V344" s="32"/>
    </row>
    <row r="345" spans="1:22" ht="12.75" customHeight="1" x14ac:dyDescent="0.25">
      <c r="A345" s="155"/>
      <c r="B345" s="84" t="s">
        <v>24</v>
      </c>
      <c r="C345" s="158"/>
      <c r="D345" s="11">
        <f t="shared" si="202"/>
        <v>21.2</v>
      </c>
      <c r="E345" s="11">
        <v>21.2</v>
      </c>
      <c r="F345" s="11"/>
      <c r="G345" s="16"/>
      <c r="N345" s="36"/>
      <c r="O345" s="30"/>
      <c r="P345" s="31"/>
      <c r="Q345" s="33"/>
      <c r="R345" s="33"/>
      <c r="S345" s="33"/>
      <c r="T345" s="33"/>
      <c r="U345" s="32"/>
      <c r="V345" s="32"/>
    </row>
    <row r="346" spans="1:22" ht="18" customHeight="1" x14ac:dyDescent="0.25">
      <c r="A346" s="154" t="s">
        <v>106</v>
      </c>
      <c r="B346" s="93" t="s">
        <v>107</v>
      </c>
      <c r="C346" s="90"/>
      <c r="D346" s="89">
        <f t="shared" ref="D346" si="204">SUM(G346+E346)</f>
        <v>669.4</v>
      </c>
      <c r="E346" s="89">
        <f t="shared" ref="E346" si="205">SUM(E347+E349)</f>
        <v>669.4</v>
      </c>
      <c r="F346" s="89">
        <f t="shared" ref="F346" si="206">SUM(F347+F349)</f>
        <v>544.5</v>
      </c>
      <c r="G346" s="89">
        <f>SUM(G347+G349)</f>
        <v>0</v>
      </c>
      <c r="N346" s="36"/>
      <c r="O346" s="30"/>
      <c r="P346" s="31"/>
      <c r="Q346" s="33"/>
      <c r="R346" s="33"/>
      <c r="S346" s="33"/>
      <c r="T346" s="33"/>
      <c r="U346" s="32"/>
      <c r="V346" s="32"/>
    </row>
    <row r="347" spans="1:22" ht="15" customHeight="1" x14ac:dyDescent="0.25">
      <c r="A347" s="154"/>
      <c r="B347" s="69" t="s">
        <v>155</v>
      </c>
      <c r="C347" s="68" t="s">
        <v>17</v>
      </c>
      <c r="D347" s="67">
        <f>SUM(D348)</f>
        <v>7</v>
      </c>
      <c r="E347" s="67">
        <f>SUM(E348)</f>
        <v>7</v>
      </c>
      <c r="F347" s="67">
        <f>SUM(F348)</f>
        <v>0</v>
      </c>
      <c r="G347" s="67">
        <f>SUM(G348)</f>
        <v>0</v>
      </c>
      <c r="N347" s="36"/>
      <c r="O347" s="30"/>
      <c r="P347" s="31"/>
      <c r="Q347" s="33"/>
      <c r="R347" s="33"/>
      <c r="S347" s="33"/>
      <c r="T347" s="33"/>
      <c r="U347" s="32"/>
      <c r="V347" s="32"/>
    </row>
    <row r="348" spans="1:22" ht="12.75" customHeight="1" x14ac:dyDescent="0.25">
      <c r="A348" s="154"/>
      <c r="B348" s="13" t="s">
        <v>21</v>
      </c>
      <c r="C348" s="21"/>
      <c r="D348" s="11">
        <f t="shared" si="202"/>
        <v>7</v>
      </c>
      <c r="E348" s="11">
        <v>7</v>
      </c>
      <c r="F348" s="11"/>
      <c r="G348" s="34"/>
      <c r="N348" s="36"/>
      <c r="O348" s="30"/>
      <c r="P348" s="31"/>
      <c r="Q348" s="33"/>
      <c r="R348" s="33"/>
      <c r="S348" s="33"/>
      <c r="T348" s="33"/>
      <c r="U348" s="32"/>
      <c r="V348" s="32"/>
    </row>
    <row r="349" spans="1:22" ht="30.75" customHeight="1" x14ac:dyDescent="0.25">
      <c r="A349" s="154"/>
      <c r="B349" s="86" t="s">
        <v>161</v>
      </c>
      <c r="C349" s="72" t="s">
        <v>25</v>
      </c>
      <c r="D349" s="75">
        <f t="shared" ref="D349:F349" si="207">SUM(D350:D352)</f>
        <v>662.4</v>
      </c>
      <c r="E349" s="75">
        <f t="shared" si="207"/>
        <v>662.4</v>
      </c>
      <c r="F349" s="75">
        <f t="shared" si="207"/>
        <v>544.5</v>
      </c>
      <c r="G349" s="75">
        <f>SUM(G350:G352)</f>
        <v>0</v>
      </c>
      <c r="N349" s="36"/>
      <c r="O349" s="30"/>
      <c r="P349" s="31"/>
      <c r="Q349" s="33"/>
      <c r="R349" s="33"/>
      <c r="S349" s="33"/>
      <c r="T349" s="33"/>
      <c r="U349" s="32"/>
      <c r="V349" s="32"/>
    </row>
    <row r="350" spans="1:22" ht="12.75" customHeight="1" x14ac:dyDescent="0.25">
      <c r="A350" s="155"/>
      <c r="B350" s="82" t="s">
        <v>28</v>
      </c>
      <c r="C350" s="156"/>
      <c r="D350" s="11">
        <f t="shared" si="202"/>
        <v>280.3</v>
      </c>
      <c r="E350" s="11">
        <v>280.3</v>
      </c>
      <c r="F350" s="11">
        <v>271.39999999999998</v>
      </c>
      <c r="G350" s="16"/>
      <c r="H350" s="12"/>
      <c r="N350" s="36"/>
      <c r="O350" s="30"/>
      <c r="P350" s="31"/>
      <c r="Q350" s="33"/>
      <c r="R350" s="33"/>
      <c r="S350" s="33"/>
      <c r="T350" s="33"/>
      <c r="U350" s="32"/>
      <c r="V350" s="32"/>
    </row>
    <row r="351" spans="1:22" ht="12.75" customHeight="1" x14ac:dyDescent="0.25">
      <c r="A351" s="155"/>
      <c r="B351" s="83" t="s">
        <v>16</v>
      </c>
      <c r="C351" s="157"/>
      <c r="D351" s="11">
        <f t="shared" si="202"/>
        <v>327</v>
      </c>
      <c r="E351" s="11">
        <v>327</v>
      </c>
      <c r="F351" s="11">
        <v>273.10000000000002</v>
      </c>
      <c r="G351" s="16"/>
      <c r="N351" s="36"/>
      <c r="O351" s="30" t="s">
        <v>160</v>
      </c>
      <c r="P351" s="31"/>
      <c r="Q351" s="33"/>
      <c r="R351" s="33"/>
      <c r="S351" s="33"/>
      <c r="T351" s="33"/>
      <c r="U351" s="32"/>
      <c r="V351" s="32"/>
    </row>
    <row r="352" spans="1:22" ht="12.75" customHeight="1" x14ac:dyDescent="0.25">
      <c r="A352" s="155"/>
      <c r="B352" s="84" t="s">
        <v>24</v>
      </c>
      <c r="C352" s="158"/>
      <c r="D352" s="11">
        <f t="shared" si="202"/>
        <v>55.1</v>
      </c>
      <c r="E352" s="11">
        <v>55.1</v>
      </c>
      <c r="F352" s="11"/>
      <c r="G352" s="16"/>
      <c r="N352" s="36"/>
      <c r="O352" s="30"/>
      <c r="P352" s="31"/>
      <c r="Q352" s="33"/>
      <c r="R352" s="33"/>
      <c r="S352" s="33"/>
      <c r="T352" s="33"/>
      <c r="U352" s="32"/>
      <c r="V352" s="32"/>
    </row>
    <row r="353" spans="1:22" ht="18" customHeight="1" x14ac:dyDescent="0.25">
      <c r="A353" s="159" t="s">
        <v>108</v>
      </c>
      <c r="B353" s="93" t="s">
        <v>109</v>
      </c>
      <c r="C353" s="90"/>
      <c r="D353" s="89">
        <f t="shared" ref="D353" si="208">SUM(G353+E353)</f>
        <v>229.8</v>
      </c>
      <c r="E353" s="89">
        <f t="shared" ref="E353:F353" si="209">SUM(E354+E357)</f>
        <v>229.8</v>
      </c>
      <c r="F353" s="89">
        <f t="shared" si="209"/>
        <v>143.39999999999998</v>
      </c>
      <c r="G353" s="89">
        <f>SUM(G354+G357)</f>
        <v>0</v>
      </c>
      <c r="N353" s="36"/>
      <c r="O353" s="30"/>
      <c r="P353" s="31"/>
      <c r="Q353" s="33"/>
      <c r="R353" s="33"/>
      <c r="S353" s="33"/>
      <c r="T353" s="33"/>
      <c r="U353" s="32"/>
      <c r="V353" s="32"/>
    </row>
    <row r="354" spans="1:22" ht="30.75" customHeight="1" x14ac:dyDescent="0.25">
      <c r="A354" s="163"/>
      <c r="B354" s="86" t="s">
        <v>156</v>
      </c>
      <c r="C354" s="72" t="s">
        <v>25</v>
      </c>
      <c r="D354" s="75">
        <f t="shared" ref="D354:F354" si="210">SUM(D355:D356)</f>
        <v>216.9</v>
      </c>
      <c r="E354" s="75">
        <f t="shared" si="210"/>
        <v>216.9</v>
      </c>
      <c r="F354" s="75">
        <f t="shared" si="210"/>
        <v>139.69999999999999</v>
      </c>
      <c r="G354" s="75">
        <f>SUM(G355:G356)</f>
        <v>0</v>
      </c>
      <c r="N354" s="36"/>
      <c r="O354" s="30"/>
      <c r="P354" s="31"/>
      <c r="Q354" s="33"/>
      <c r="R354" s="33"/>
      <c r="S354" s="33"/>
      <c r="T354" s="33"/>
      <c r="U354" s="32"/>
      <c r="V354" s="32"/>
    </row>
    <row r="355" spans="1:22" ht="12.95" customHeight="1" x14ac:dyDescent="0.25">
      <c r="A355" s="161"/>
      <c r="B355" s="82" t="s">
        <v>16</v>
      </c>
      <c r="C355" s="157"/>
      <c r="D355" s="11">
        <f t="shared" si="202"/>
        <v>196.9</v>
      </c>
      <c r="E355" s="11">
        <v>196.9</v>
      </c>
      <c r="F355" s="11">
        <v>139.69999999999999</v>
      </c>
      <c r="G355" s="16"/>
      <c r="N355" s="36"/>
      <c r="O355" s="30"/>
      <c r="P355" s="31"/>
      <c r="Q355" s="33"/>
      <c r="R355" s="33"/>
      <c r="S355" s="33"/>
      <c r="T355" s="33"/>
      <c r="U355" s="32"/>
      <c r="V355" s="32"/>
    </row>
    <row r="356" spans="1:22" ht="12.95" customHeight="1" x14ac:dyDescent="0.25">
      <c r="A356" s="161"/>
      <c r="B356" s="84" t="s">
        <v>24</v>
      </c>
      <c r="C356" s="158"/>
      <c r="D356" s="11">
        <f t="shared" si="202"/>
        <v>20</v>
      </c>
      <c r="E356" s="11">
        <v>20</v>
      </c>
      <c r="F356" s="11"/>
      <c r="G356" s="16"/>
      <c r="N356" s="36"/>
      <c r="O356" s="30"/>
      <c r="P356" s="31"/>
      <c r="Q356" s="33"/>
      <c r="R356" s="33"/>
      <c r="S356" s="33"/>
      <c r="T356" s="33"/>
      <c r="U356" s="32"/>
      <c r="V356" s="32"/>
    </row>
    <row r="357" spans="1:22" ht="15" customHeight="1" x14ac:dyDescent="0.25">
      <c r="A357" s="163"/>
      <c r="B357" s="69" t="s">
        <v>148</v>
      </c>
      <c r="C357" s="72" t="s">
        <v>30</v>
      </c>
      <c r="D357" s="74">
        <f t="shared" ref="D357:F357" si="211">SUM(D358)</f>
        <v>12.9</v>
      </c>
      <c r="E357" s="74">
        <f t="shared" si="211"/>
        <v>12.9</v>
      </c>
      <c r="F357" s="74">
        <f t="shared" si="211"/>
        <v>3.7</v>
      </c>
      <c r="G357" s="74">
        <f>SUM(G358)</f>
        <v>0</v>
      </c>
      <c r="N357" s="36"/>
      <c r="O357" s="30"/>
      <c r="P357" s="31"/>
      <c r="Q357" s="33"/>
      <c r="R357" s="33"/>
      <c r="S357" s="33"/>
      <c r="T357" s="33"/>
      <c r="U357" s="32"/>
      <c r="V357" s="32"/>
    </row>
    <row r="358" spans="1:22" ht="12.95" customHeight="1" x14ac:dyDescent="0.25">
      <c r="A358" s="164"/>
      <c r="B358" s="9" t="s">
        <v>16</v>
      </c>
      <c r="C358" s="39"/>
      <c r="D358" s="11">
        <f t="shared" si="202"/>
        <v>12.9</v>
      </c>
      <c r="E358" s="11">
        <v>12.9</v>
      </c>
      <c r="F358" s="11">
        <v>3.7</v>
      </c>
      <c r="G358" s="16"/>
      <c r="N358" s="36"/>
      <c r="O358" s="30"/>
      <c r="P358" s="31"/>
      <c r="Q358" s="33"/>
      <c r="R358" s="33"/>
      <c r="S358" s="33"/>
      <c r="T358" s="33"/>
      <c r="U358" s="32"/>
      <c r="V358" s="32"/>
    </row>
    <row r="359" spans="1:22" ht="18" customHeight="1" x14ac:dyDescent="0.25">
      <c r="A359" s="159" t="s">
        <v>110</v>
      </c>
      <c r="B359" s="87" t="s">
        <v>111</v>
      </c>
      <c r="C359" s="97"/>
      <c r="D359" s="89">
        <f t="shared" si="202"/>
        <v>117.6</v>
      </c>
      <c r="E359" s="89">
        <f t="shared" ref="E359:F359" si="212">SUM(E360)</f>
        <v>117.6</v>
      </c>
      <c r="F359" s="89">
        <f t="shared" si="212"/>
        <v>109.3</v>
      </c>
      <c r="G359" s="89">
        <f>SUM(G360)</f>
        <v>0</v>
      </c>
      <c r="N359" s="36"/>
      <c r="O359" s="30"/>
      <c r="P359" s="31"/>
      <c r="Q359" s="33"/>
      <c r="R359" s="33"/>
      <c r="S359" s="33"/>
      <c r="T359" s="33"/>
      <c r="U359" s="32"/>
      <c r="V359" s="32"/>
    </row>
    <row r="360" spans="1:22" ht="30.75" customHeight="1" x14ac:dyDescent="0.25">
      <c r="A360" s="159"/>
      <c r="B360" s="86" t="s">
        <v>156</v>
      </c>
      <c r="C360" s="72" t="s">
        <v>25</v>
      </c>
      <c r="D360" s="75">
        <f t="shared" ref="D360:F360" si="213">SUM(D361:D362)</f>
        <v>117.6</v>
      </c>
      <c r="E360" s="75">
        <f t="shared" si="213"/>
        <v>117.6</v>
      </c>
      <c r="F360" s="75">
        <f t="shared" si="213"/>
        <v>109.3</v>
      </c>
      <c r="G360" s="75">
        <f>SUM(G361:G362)</f>
        <v>0</v>
      </c>
      <c r="N360" s="36"/>
      <c r="O360" s="30"/>
      <c r="P360" s="31"/>
      <c r="Q360" s="33"/>
      <c r="R360" s="33"/>
      <c r="S360" s="33"/>
      <c r="T360" s="33"/>
      <c r="U360" s="32"/>
      <c r="V360" s="32"/>
    </row>
    <row r="361" spans="1:22" ht="12.75" customHeight="1" x14ac:dyDescent="0.25">
      <c r="A361" s="160"/>
      <c r="B361" s="82" t="s">
        <v>28</v>
      </c>
      <c r="C361" s="156"/>
      <c r="D361" s="11">
        <f t="shared" si="202"/>
        <v>63.8</v>
      </c>
      <c r="E361" s="11">
        <v>63.8</v>
      </c>
      <c r="F361" s="11">
        <v>62.9</v>
      </c>
      <c r="G361" s="16"/>
      <c r="N361" s="36"/>
      <c r="O361" s="30"/>
      <c r="P361" s="31"/>
      <c r="Q361" s="33"/>
      <c r="R361" s="33"/>
      <c r="S361" s="33"/>
      <c r="T361" s="33"/>
      <c r="U361" s="32"/>
      <c r="V361" s="32"/>
    </row>
    <row r="362" spans="1:22" ht="12.75" customHeight="1" x14ac:dyDescent="0.25">
      <c r="A362" s="160"/>
      <c r="B362" s="84" t="s">
        <v>16</v>
      </c>
      <c r="C362" s="158"/>
      <c r="D362" s="11">
        <f t="shared" si="202"/>
        <v>53.8</v>
      </c>
      <c r="E362" s="11">
        <v>53.8</v>
      </c>
      <c r="F362" s="11">
        <v>46.4</v>
      </c>
      <c r="G362" s="16"/>
      <c r="N362" s="36"/>
      <c r="O362" s="30"/>
      <c r="P362" s="31"/>
      <c r="Q362" s="33"/>
      <c r="R362" s="33"/>
      <c r="S362" s="33"/>
      <c r="T362" s="33"/>
      <c r="U362" s="32"/>
      <c r="V362" s="32"/>
    </row>
    <row r="363" spans="1:22" ht="18" customHeight="1" x14ac:dyDescent="0.25">
      <c r="A363" s="154" t="s">
        <v>112</v>
      </c>
      <c r="B363" s="93" t="s">
        <v>113</v>
      </c>
      <c r="C363" s="97"/>
      <c r="D363" s="89">
        <f t="shared" si="202"/>
        <v>411.8</v>
      </c>
      <c r="E363" s="89">
        <f t="shared" ref="E363:F363" si="214">SUM(E364)</f>
        <v>407.8</v>
      </c>
      <c r="F363" s="89">
        <f t="shared" si="214"/>
        <v>371.4</v>
      </c>
      <c r="G363" s="89">
        <f>SUM(G364)</f>
        <v>4</v>
      </c>
      <c r="N363" s="36"/>
      <c r="O363" s="30"/>
      <c r="P363" s="31"/>
      <c r="Q363" s="33"/>
      <c r="R363" s="33"/>
      <c r="S363" s="33"/>
      <c r="T363" s="33"/>
      <c r="U363" s="32"/>
      <c r="V363" s="32"/>
    </row>
    <row r="364" spans="1:22" ht="30.75" customHeight="1" x14ac:dyDescent="0.25">
      <c r="A364" s="154"/>
      <c r="B364" s="86" t="s">
        <v>156</v>
      </c>
      <c r="C364" s="72" t="s">
        <v>25</v>
      </c>
      <c r="D364" s="75">
        <f t="shared" ref="D364:F364" si="215">SUM(D365:D368)</f>
        <v>411.8</v>
      </c>
      <c r="E364" s="75">
        <f t="shared" si="215"/>
        <v>407.8</v>
      </c>
      <c r="F364" s="75">
        <f t="shared" si="215"/>
        <v>371.4</v>
      </c>
      <c r="G364" s="75">
        <f>SUM(G365:G368)</f>
        <v>4</v>
      </c>
      <c r="N364" s="36"/>
      <c r="O364" s="30"/>
      <c r="P364" s="31"/>
      <c r="Q364" s="33"/>
      <c r="R364" s="33"/>
      <c r="S364" s="33"/>
      <c r="T364" s="33"/>
      <c r="U364" s="32"/>
      <c r="V364" s="32"/>
    </row>
    <row r="365" spans="1:22" ht="12.75" customHeight="1" x14ac:dyDescent="0.25">
      <c r="A365" s="155"/>
      <c r="B365" s="82" t="s">
        <v>26</v>
      </c>
      <c r="C365" s="156"/>
      <c r="D365" s="11">
        <f t="shared" si="202"/>
        <v>0.1</v>
      </c>
      <c r="E365" s="11">
        <v>0.1</v>
      </c>
      <c r="F365" s="11">
        <v>0.1</v>
      </c>
      <c r="G365" s="11"/>
      <c r="N365" s="36"/>
      <c r="O365" s="30"/>
      <c r="P365" s="31"/>
      <c r="Q365" s="33"/>
      <c r="R365" s="33"/>
      <c r="S365" s="33"/>
      <c r="T365" s="33"/>
      <c r="U365" s="32"/>
      <c r="V365" s="32"/>
    </row>
    <row r="366" spans="1:22" ht="12.75" customHeight="1" x14ac:dyDescent="0.25">
      <c r="A366" s="155"/>
      <c r="B366" s="83" t="s">
        <v>28</v>
      </c>
      <c r="C366" s="157"/>
      <c r="D366" s="11">
        <f t="shared" si="202"/>
        <v>56.4</v>
      </c>
      <c r="E366" s="11">
        <v>56.4</v>
      </c>
      <c r="F366" s="11">
        <v>55.6</v>
      </c>
      <c r="G366" s="11"/>
      <c r="H366" s="12"/>
      <c r="N366" s="36"/>
      <c r="O366" s="30"/>
      <c r="P366" s="31"/>
      <c r="Q366" s="33"/>
      <c r="R366" s="33"/>
      <c r="S366" s="33"/>
      <c r="T366" s="33"/>
      <c r="U366" s="32"/>
      <c r="V366" s="32"/>
    </row>
    <row r="367" spans="1:22" ht="12.75" customHeight="1" x14ac:dyDescent="0.25">
      <c r="A367" s="155"/>
      <c r="B367" s="83" t="s">
        <v>16</v>
      </c>
      <c r="C367" s="157"/>
      <c r="D367" s="11">
        <f t="shared" si="202"/>
        <v>345.3</v>
      </c>
      <c r="E367" s="11">
        <v>345.3</v>
      </c>
      <c r="F367" s="11">
        <v>315.7</v>
      </c>
      <c r="G367" s="16"/>
      <c r="N367" s="36"/>
      <c r="O367" s="30"/>
      <c r="P367" s="31"/>
      <c r="Q367" s="33"/>
      <c r="R367" s="33"/>
      <c r="S367" s="33"/>
      <c r="T367" s="33"/>
      <c r="U367" s="32"/>
      <c r="V367" s="32"/>
    </row>
    <row r="368" spans="1:22" ht="12.75" customHeight="1" x14ac:dyDescent="0.25">
      <c r="A368" s="155"/>
      <c r="B368" s="84" t="s">
        <v>24</v>
      </c>
      <c r="C368" s="158"/>
      <c r="D368" s="11">
        <f t="shared" si="202"/>
        <v>10</v>
      </c>
      <c r="E368" s="11">
        <v>6</v>
      </c>
      <c r="F368" s="11"/>
      <c r="G368" s="11">
        <v>4</v>
      </c>
      <c r="N368" s="36"/>
      <c r="O368" s="30"/>
      <c r="P368" s="31"/>
      <c r="Q368" s="33"/>
      <c r="R368" s="33"/>
      <c r="S368" s="33"/>
      <c r="T368" s="33"/>
      <c r="U368" s="32"/>
      <c r="V368" s="32"/>
    </row>
    <row r="369" spans="1:22" ht="18" customHeight="1" x14ac:dyDescent="0.25">
      <c r="A369" s="154" t="s">
        <v>114</v>
      </c>
      <c r="B369" s="93" t="s">
        <v>115</v>
      </c>
      <c r="C369" s="88"/>
      <c r="D369" s="89">
        <f t="shared" si="202"/>
        <v>1031.4000000000001</v>
      </c>
      <c r="E369" s="89">
        <f t="shared" ref="E369:F369" si="216">SUM(E370+E372)</f>
        <v>990.2</v>
      </c>
      <c r="F369" s="89">
        <f t="shared" si="216"/>
        <v>857.1</v>
      </c>
      <c r="G369" s="89">
        <f>SUM(G370+G372)</f>
        <v>41.2</v>
      </c>
      <c r="N369" s="36"/>
      <c r="O369" s="30"/>
      <c r="P369" s="31"/>
      <c r="Q369" s="33"/>
      <c r="R369" s="33"/>
      <c r="S369" s="33"/>
      <c r="T369" s="33"/>
      <c r="U369" s="32"/>
      <c r="V369" s="32"/>
    </row>
    <row r="370" spans="1:22" ht="30.75" customHeight="1" x14ac:dyDescent="0.25">
      <c r="A370" s="154"/>
      <c r="B370" s="86" t="s">
        <v>156</v>
      </c>
      <c r="C370" s="72" t="s">
        <v>25</v>
      </c>
      <c r="D370" s="75">
        <f t="shared" ref="D370:F370" si="217">SUM(D371)</f>
        <v>0.7</v>
      </c>
      <c r="E370" s="75">
        <f t="shared" si="217"/>
        <v>0.7</v>
      </c>
      <c r="F370" s="75">
        <f t="shared" si="217"/>
        <v>0</v>
      </c>
      <c r="G370" s="75">
        <f>SUM(G371)</f>
        <v>0</v>
      </c>
      <c r="N370" s="36"/>
      <c r="O370" s="30"/>
      <c r="P370" s="31"/>
      <c r="Q370" s="33"/>
      <c r="R370" s="33"/>
      <c r="S370" s="33"/>
      <c r="T370" s="33"/>
      <c r="U370" s="32"/>
      <c r="V370" s="32"/>
    </row>
    <row r="371" spans="1:22" ht="12.75" customHeight="1" x14ac:dyDescent="0.25">
      <c r="A371" s="154"/>
      <c r="B371" s="9" t="s">
        <v>26</v>
      </c>
      <c r="C371" s="38"/>
      <c r="D371" s="11">
        <f t="shared" si="202"/>
        <v>0.7</v>
      </c>
      <c r="E371" s="11">
        <v>0.7</v>
      </c>
      <c r="F371" s="11"/>
      <c r="G371" s="11"/>
      <c r="N371" s="36"/>
      <c r="O371" s="30"/>
      <c r="P371" s="31"/>
      <c r="Q371" s="33"/>
      <c r="R371" s="33"/>
      <c r="S371" s="33"/>
      <c r="T371" s="33"/>
      <c r="U371" s="32"/>
      <c r="V371" s="32"/>
    </row>
    <row r="372" spans="1:22" ht="15" customHeight="1" x14ac:dyDescent="0.25">
      <c r="A372" s="154"/>
      <c r="B372" s="69" t="s">
        <v>148</v>
      </c>
      <c r="C372" s="72" t="s">
        <v>30</v>
      </c>
      <c r="D372" s="74">
        <f t="shared" ref="D372:F372" si="218">SUM(D373:D376)</f>
        <v>1030.6999999999998</v>
      </c>
      <c r="E372" s="74">
        <f t="shared" si="218"/>
        <v>989.5</v>
      </c>
      <c r="F372" s="74">
        <f t="shared" si="218"/>
        <v>857.1</v>
      </c>
      <c r="G372" s="74">
        <f>SUM(G373:G376)</f>
        <v>41.2</v>
      </c>
      <c r="N372" s="36"/>
      <c r="O372" s="30"/>
      <c r="P372" s="31"/>
      <c r="Q372" s="33"/>
      <c r="R372" s="33"/>
      <c r="S372" s="33"/>
      <c r="T372" s="33"/>
      <c r="U372" s="32"/>
      <c r="V372" s="32"/>
    </row>
    <row r="373" spans="1:22" ht="12.75" customHeight="1" x14ac:dyDescent="0.25">
      <c r="A373" s="155"/>
      <c r="B373" s="82" t="s">
        <v>27</v>
      </c>
      <c r="C373" s="156"/>
      <c r="D373" s="11">
        <f t="shared" si="202"/>
        <v>41.2</v>
      </c>
      <c r="E373" s="11"/>
      <c r="F373" s="11"/>
      <c r="G373" s="11">
        <v>41.2</v>
      </c>
      <c r="N373" s="36"/>
      <c r="O373" s="30"/>
      <c r="P373" s="31"/>
      <c r="Q373" s="33"/>
      <c r="R373" s="33"/>
      <c r="S373" s="33"/>
      <c r="T373" s="33"/>
      <c r="U373" s="32"/>
      <c r="V373" s="32"/>
    </row>
    <row r="374" spans="1:22" ht="12.75" customHeight="1" x14ac:dyDescent="0.25">
      <c r="A374" s="155"/>
      <c r="B374" s="83" t="s">
        <v>73</v>
      </c>
      <c r="C374" s="157"/>
      <c r="D374" s="11">
        <f t="shared" si="202"/>
        <v>13.6</v>
      </c>
      <c r="E374" s="11">
        <v>13.6</v>
      </c>
      <c r="F374" s="11">
        <v>13.6</v>
      </c>
      <c r="G374" s="11"/>
      <c r="N374" s="36"/>
      <c r="O374" s="30"/>
      <c r="P374" s="31"/>
      <c r="Q374" s="33"/>
      <c r="R374" s="33"/>
      <c r="S374" s="33"/>
      <c r="T374" s="33"/>
      <c r="U374" s="32"/>
      <c r="V374" s="32"/>
    </row>
    <row r="375" spans="1:22" ht="12.75" customHeight="1" x14ac:dyDescent="0.25">
      <c r="A375" s="155"/>
      <c r="B375" s="83" t="s">
        <v>16</v>
      </c>
      <c r="C375" s="157"/>
      <c r="D375" s="11">
        <f t="shared" si="202"/>
        <v>973.8</v>
      </c>
      <c r="E375" s="11">
        <v>973.8</v>
      </c>
      <c r="F375" s="11">
        <v>843.5</v>
      </c>
      <c r="G375" s="11"/>
      <c r="N375" s="36"/>
      <c r="O375" s="30"/>
      <c r="P375" s="31"/>
      <c r="Q375" s="33"/>
      <c r="R375" s="33"/>
      <c r="S375" s="33"/>
      <c r="T375" s="33"/>
      <c r="U375" s="32"/>
      <c r="V375" s="32"/>
    </row>
    <row r="376" spans="1:22" ht="12.75" customHeight="1" x14ac:dyDescent="0.25">
      <c r="A376" s="155"/>
      <c r="B376" s="84" t="s">
        <v>24</v>
      </c>
      <c r="C376" s="158"/>
      <c r="D376" s="11">
        <f t="shared" si="202"/>
        <v>2.1</v>
      </c>
      <c r="E376" s="11">
        <v>2.1</v>
      </c>
      <c r="F376" s="11"/>
      <c r="G376" s="16"/>
      <c r="N376" s="36"/>
      <c r="O376" s="30"/>
      <c r="P376" s="31"/>
      <c r="Q376" s="33"/>
      <c r="R376" s="33"/>
      <c r="S376" s="33"/>
      <c r="T376" s="33"/>
      <c r="U376" s="32"/>
      <c r="V376" s="32"/>
    </row>
    <row r="377" spans="1:22" ht="18" customHeight="1" x14ac:dyDescent="0.25">
      <c r="A377" s="159" t="s">
        <v>116</v>
      </c>
      <c r="B377" s="93" t="s">
        <v>117</v>
      </c>
      <c r="C377" s="88"/>
      <c r="D377" s="89">
        <f t="shared" si="202"/>
        <v>224</v>
      </c>
      <c r="E377" s="89">
        <f t="shared" ref="E377:F377" si="219">SUM(E378+E382)</f>
        <v>138.4</v>
      </c>
      <c r="F377" s="89">
        <f t="shared" si="219"/>
        <v>102.8</v>
      </c>
      <c r="G377" s="89">
        <f>SUM(G378+G382)</f>
        <v>85.6</v>
      </c>
      <c r="N377" s="36"/>
      <c r="O377" s="30"/>
      <c r="P377" s="31"/>
      <c r="Q377" s="33"/>
      <c r="R377" s="33"/>
      <c r="S377" s="33"/>
      <c r="T377" s="33"/>
      <c r="U377" s="32"/>
      <c r="V377" s="32"/>
    </row>
    <row r="378" spans="1:22" ht="15" customHeight="1" x14ac:dyDescent="0.25">
      <c r="A378" s="163"/>
      <c r="B378" s="69" t="s">
        <v>157</v>
      </c>
      <c r="C378" s="72" t="s">
        <v>30</v>
      </c>
      <c r="D378" s="74">
        <f t="shared" ref="D378:F378" si="220">SUM(D379:D381)</f>
        <v>138.4</v>
      </c>
      <c r="E378" s="74">
        <f t="shared" si="220"/>
        <v>138.4</v>
      </c>
      <c r="F378" s="74">
        <f t="shared" si="220"/>
        <v>102.8</v>
      </c>
      <c r="G378" s="74">
        <f>SUM(G379:G381)</f>
        <v>0</v>
      </c>
      <c r="N378" s="36"/>
      <c r="O378" s="30"/>
      <c r="P378" s="31"/>
      <c r="Q378" s="33"/>
      <c r="R378" s="33"/>
      <c r="S378" s="33"/>
      <c r="T378" s="33"/>
      <c r="U378" s="32"/>
      <c r="V378" s="32"/>
    </row>
    <row r="379" spans="1:22" ht="12.75" customHeight="1" x14ac:dyDescent="0.25">
      <c r="A379" s="161"/>
      <c r="B379" s="82" t="s">
        <v>73</v>
      </c>
      <c r="C379" s="156"/>
      <c r="D379" s="11">
        <f t="shared" si="202"/>
        <v>1.7</v>
      </c>
      <c r="E379" s="11">
        <v>1.7</v>
      </c>
      <c r="F379" s="11">
        <v>1.7</v>
      </c>
      <c r="G379" s="11"/>
      <c r="N379" s="36"/>
      <c r="O379" s="30"/>
      <c r="P379" s="31"/>
      <c r="Q379" s="33"/>
      <c r="R379" s="33"/>
      <c r="S379" s="33"/>
      <c r="T379" s="33"/>
      <c r="U379" s="32"/>
      <c r="V379" s="32"/>
    </row>
    <row r="380" spans="1:22" ht="12.75" customHeight="1" x14ac:dyDescent="0.25">
      <c r="A380" s="161"/>
      <c r="B380" s="83" t="s">
        <v>16</v>
      </c>
      <c r="C380" s="157"/>
      <c r="D380" s="103">
        <f t="shared" si="202"/>
        <v>133.30000000000001</v>
      </c>
      <c r="E380" s="103">
        <v>133.30000000000001</v>
      </c>
      <c r="F380" s="103">
        <f>106.1-5</f>
        <v>101.1</v>
      </c>
      <c r="G380" s="112"/>
      <c r="N380" s="36"/>
      <c r="O380" s="30"/>
      <c r="P380" s="31"/>
      <c r="Q380" s="33"/>
      <c r="R380" s="33"/>
      <c r="S380" s="33"/>
      <c r="T380" s="33"/>
      <c r="U380" s="32"/>
      <c r="V380" s="32"/>
    </row>
    <row r="381" spans="1:22" ht="12.75" customHeight="1" x14ac:dyDescent="0.25">
      <c r="A381" s="161"/>
      <c r="B381" s="84" t="s">
        <v>24</v>
      </c>
      <c r="C381" s="158"/>
      <c r="D381" s="103">
        <f t="shared" si="202"/>
        <v>3.4</v>
      </c>
      <c r="E381" s="103">
        <v>3.4</v>
      </c>
      <c r="F381" s="103"/>
      <c r="G381" s="112"/>
      <c r="N381" s="36"/>
      <c r="O381" s="30"/>
      <c r="P381" s="31"/>
      <c r="Q381" s="33"/>
      <c r="R381" s="33"/>
      <c r="S381" s="33"/>
      <c r="T381" s="33"/>
      <c r="U381" s="32"/>
      <c r="V381" s="32"/>
    </row>
    <row r="382" spans="1:22" ht="15" customHeight="1" x14ac:dyDescent="0.25">
      <c r="A382" s="163"/>
      <c r="B382" s="86" t="s">
        <v>153</v>
      </c>
      <c r="C382" s="92" t="s">
        <v>38</v>
      </c>
      <c r="D382" s="110">
        <f t="shared" ref="D382:F382" si="221">SUM(D383:D385)</f>
        <v>85.6</v>
      </c>
      <c r="E382" s="110">
        <f t="shared" si="221"/>
        <v>0</v>
      </c>
      <c r="F382" s="110">
        <f t="shared" si="221"/>
        <v>0</v>
      </c>
      <c r="G382" s="110">
        <f>SUM(G383:G385)</f>
        <v>85.6</v>
      </c>
      <c r="N382" s="36"/>
      <c r="O382" s="30"/>
      <c r="P382" s="31"/>
      <c r="Q382" s="33"/>
      <c r="R382" s="33"/>
      <c r="S382" s="33"/>
      <c r="T382" s="33"/>
      <c r="U382" s="32"/>
      <c r="V382" s="32"/>
    </row>
    <row r="383" spans="1:22" ht="12.75" customHeight="1" x14ac:dyDescent="0.25">
      <c r="A383" s="161"/>
      <c r="B383" s="82" t="s">
        <v>20</v>
      </c>
      <c r="C383" s="156"/>
      <c r="D383" s="103">
        <f t="shared" si="202"/>
        <v>65</v>
      </c>
      <c r="E383" s="103"/>
      <c r="F383" s="103"/>
      <c r="G383" s="103">
        <v>65</v>
      </c>
      <c r="N383" s="36"/>
      <c r="O383" s="30"/>
      <c r="P383" s="31"/>
      <c r="Q383" s="33"/>
      <c r="R383" s="33"/>
      <c r="S383" s="33"/>
      <c r="T383" s="33"/>
      <c r="U383" s="32"/>
      <c r="V383" s="32"/>
    </row>
    <row r="384" spans="1:22" ht="12.75" customHeight="1" x14ac:dyDescent="0.25">
      <c r="A384" s="161"/>
      <c r="B384" s="83" t="s">
        <v>29</v>
      </c>
      <c r="C384" s="157"/>
      <c r="D384" s="103">
        <f t="shared" ref="D384" si="222">SUM(G384+E384)</f>
        <v>11.5</v>
      </c>
      <c r="E384" s="103"/>
      <c r="F384" s="103"/>
      <c r="G384" s="103">
        <v>11.5</v>
      </c>
      <c r="N384" s="36"/>
      <c r="O384" s="30"/>
      <c r="P384" s="31"/>
      <c r="Q384" s="33"/>
      <c r="R384" s="33"/>
      <c r="S384" s="33"/>
      <c r="T384" s="33"/>
      <c r="U384" s="32"/>
      <c r="V384" s="32"/>
    </row>
    <row r="385" spans="1:22" ht="12.75" customHeight="1" x14ac:dyDescent="0.25">
      <c r="A385" s="162"/>
      <c r="B385" s="84" t="s">
        <v>16</v>
      </c>
      <c r="C385" s="158"/>
      <c r="D385" s="103">
        <f t="shared" si="202"/>
        <v>9.1</v>
      </c>
      <c r="E385" s="103"/>
      <c r="F385" s="103"/>
      <c r="G385" s="103">
        <v>9.1</v>
      </c>
      <c r="N385" s="36"/>
      <c r="O385" s="30"/>
      <c r="P385" s="31"/>
      <c r="Q385" s="33"/>
      <c r="R385" s="33"/>
      <c r="S385" s="33"/>
      <c r="T385" s="33"/>
      <c r="U385" s="32"/>
      <c r="V385" s="32"/>
    </row>
    <row r="386" spans="1:22" ht="18" customHeight="1" x14ac:dyDescent="0.25">
      <c r="A386" s="154" t="s">
        <v>118</v>
      </c>
      <c r="B386" s="93" t="s">
        <v>119</v>
      </c>
      <c r="C386" s="136"/>
      <c r="D386" s="137">
        <f t="shared" si="202"/>
        <v>225.9</v>
      </c>
      <c r="E386" s="137">
        <f t="shared" ref="E386:F386" si="223">SUM(E387)</f>
        <v>217.6</v>
      </c>
      <c r="F386" s="137">
        <f t="shared" si="223"/>
        <v>125.89999999999999</v>
      </c>
      <c r="G386" s="137">
        <f>SUM(G387)</f>
        <v>8.3000000000000007</v>
      </c>
      <c r="N386" s="36"/>
      <c r="O386" s="30"/>
      <c r="P386" s="31"/>
      <c r="Q386" s="33"/>
      <c r="R386" s="33"/>
      <c r="S386" s="33"/>
      <c r="T386" s="33"/>
      <c r="U386" s="32"/>
      <c r="V386" s="32"/>
    </row>
    <row r="387" spans="1:22" ht="15" customHeight="1" x14ac:dyDescent="0.25">
      <c r="A387" s="154"/>
      <c r="B387" s="69" t="s">
        <v>157</v>
      </c>
      <c r="C387" s="72" t="s">
        <v>30</v>
      </c>
      <c r="D387" s="109">
        <f t="shared" ref="D387" si="224">SUM(D388:D390)</f>
        <v>225.9</v>
      </c>
      <c r="E387" s="109">
        <f t="shared" ref="E387" si="225">SUM(E388:E390)</f>
        <v>217.6</v>
      </c>
      <c r="F387" s="109">
        <f t="shared" ref="F387" si="226">SUM(F388:F390)</f>
        <v>125.89999999999999</v>
      </c>
      <c r="G387" s="109">
        <f>SUM(G388:G390)</f>
        <v>8.3000000000000007</v>
      </c>
      <c r="N387" s="36"/>
      <c r="O387" s="30"/>
      <c r="P387" s="31"/>
      <c r="Q387" s="33"/>
      <c r="R387" s="33"/>
      <c r="S387" s="33"/>
      <c r="T387" s="33"/>
      <c r="U387" s="32"/>
      <c r="V387" s="32"/>
    </row>
    <row r="388" spans="1:22" ht="12.75" customHeight="1" x14ac:dyDescent="0.25">
      <c r="A388" s="155"/>
      <c r="B388" s="82" t="s">
        <v>73</v>
      </c>
      <c r="C388" s="156"/>
      <c r="D388" s="103">
        <f t="shared" si="202"/>
        <v>1.8</v>
      </c>
      <c r="E388" s="103">
        <v>1.8</v>
      </c>
      <c r="F388" s="103">
        <v>1.8</v>
      </c>
      <c r="G388" s="104"/>
      <c r="N388" s="36"/>
      <c r="O388" s="30"/>
      <c r="P388" s="31"/>
      <c r="Q388" s="33"/>
      <c r="R388" s="33"/>
      <c r="S388" s="33"/>
      <c r="T388" s="33"/>
      <c r="U388" s="32"/>
      <c r="V388" s="32"/>
    </row>
    <row r="389" spans="1:22" ht="12.75" customHeight="1" x14ac:dyDescent="0.25">
      <c r="A389" s="155"/>
      <c r="B389" s="83" t="s">
        <v>16</v>
      </c>
      <c r="C389" s="157"/>
      <c r="D389" s="103">
        <f t="shared" si="202"/>
        <v>221.1</v>
      </c>
      <c r="E389" s="103">
        <f>177.7+35.1</f>
        <v>212.79999999999998</v>
      </c>
      <c r="F389" s="103">
        <v>124.1</v>
      </c>
      <c r="G389" s="103">
        <v>8.3000000000000007</v>
      </c>
      <c r="N389" s="36"/>
      <c r="O389" s="30"/>
      <c r="P389" s="31"/>
      <c r="Q389" s="33"/>
      <c r="R389" s="33"/>
      <c r="S389" s="33"/>
      <c r="T389" s="33"/>
      <c r="U389" s="32"/>
      <c r="V389" s="32"/>
    </row>
    <row r="390" spans="1:22" ht="12.75" customHeight="1" x14ac:dyDescent="0.25">
      <c r="A390" s="155"/>
      <c r="B390" s="84" t="s">
        <v>24</v>
      </c>
      <c r="C390" s="158"/>
      <c r="D390" s="103">
        <f t="shared" si="202"/>
        <v>3</v>
      </c>
      <c r="E390" s="103">
        <v>3</v>
      </c>
      <c r="F390" s="103"/>
      <c r="G390" s="112"/>
      <c r="N390" s="36"/>
      <c r="O390" s="30"/>
      <c r="P390" s="31"/>
      <c r="Q390" s="33"/>
      <c r="R390" s="33"/>
      <c r="S390" s="33"/>
      <c r="T390" s="33"/>
      <c r="U390" s="32"/>
      <c r="V390" s="32"/>
    </row>
    <row r="391" spans="1:22" ht="18" customHeight="1" x14ac:dyDescent="0.25">
      <c r="A391" s="154" t="s">
        <v>120</v>
      </c>
      <c r="B391" s="93" t="s">
        <v>121</v>
      </c>
      <c r="C391" s="94"/>
      <c r="D391" s="89">
        <f t="shared" si="202"/>
        <v>152.9</v>
      </c>
      <c r="E391" s="89">
        <f t="shared" ref="E391:F391" si="227">SUM(E392+E394)</f>
        <v>152.9</v>
      </c>
      <c r="F391" s="89">
        <f t="shared" si="227"/>
        <v>125.3</v>
      </c>
      <c r="G391" s="89">
        <f>SUM(G392+G394)</f>
        <v>0</v>
      </c>
      <c r="N391" s="36"/>
      <c r="O391" s="30"/>
      <c r="P391" s="31"/>
      <c r="Q391" s="33"/>
      <c r="R391" s="33"/>
      <c r="S391" s="33"/>
      <c r="T391" s="33"/>
      <c r="U391" s="32"/>
      <c r="V391" s="32"/>
    </row>
    <row r="392" spans="1:22" ht="30.75" customHeight="1" x14ac:dyDescent="0.25">
      <c r="A392" s="154"/>
      <c r="B392" s="86" t="s">
        <v>156</v>
      </c>
      <c r="C392" s="72" t="s">
        <v>25</v>
      </c>
      <c r="D392" s="75">
        <f t="shared" ref="D392" si="228">SUM(D393)</f>
        <v>1.1000000000000001</v>
      </c>
      <c r="E392" s="75">
        <f t="shared" ref="E392" si="229">SUM(E393)</f>
        <v>1.1000000000000001</v>
      </c>
      <c r="F392" s="75">
        <f t="shared" ref="F392" si="230">SUM(F393)</f>
        <v>0</v>
      </c>
      <c r="G392" s="75">
        <f>SUM(G393)</f>
        <v>0</v>
      </c>
      <c r="N392" s="36"/>
      <c r="O392" s="30"/>
      <c r="P392" s="31"/>
      <c r="Q392" s="33"/>
      <c r="R392" s="33"/>
      <c r="S392" s="33"/>
      <c r="T392" s="33"/>
      <c r="U392" s="32"/>
      <c r="V392" s="32"/>
    </row>
    <row r="393" spans="1:22" ht="12.75" customHeight="1" x14ac:dyDescent="0.25">
      <c r="A393" s="154"/>
      <c r="B393" s="9" t="s">
        <v>26</v>
      </c>
      <c r="C393" s="38"/>
      <c r="D393" s="11">
        <f t="shared" si="202"/>
        <v>1.1000000000000001</v>
      </c>
      <c r="E393" s="11">
        <v>1.1000000000000001</v>
      </c>
      <c r="F393" s="11"/>
      <c r="G393" s="16"/>
      <c r="N393" s="36"/>
      <c r="O393" s="30"/>
      <c r="P393" s="31"/>
      <c r="Q393" s="33"/>
      <c r="R393" s="33"/>
      <c r="S393" s="33"/>
      <c r="T393" s="33"/>
      <c r="U393" s="32"/>
      <c r="V393" s="32"/>
    </row>
    <row r="394" spans="1:22" ht="15" customHeight="1" x14ac:dyDescent="0.25">
      <c r="A394" s="154"/>
      <c r="B394" s="69" t="s">
        <v>148</v>
      </c>
      <c r="C394" s="72" t="s">
        <v>30</v>
      </c>
      <c r="D394" s="74">
        <f t="shared" ref="D394" si="231">SUM(D395:D397)</f>
        <v>151.80000000000001</v>
      </c>
      <c r="E394" s="74">
        <f t="shared" ref="E394" si="232">SUM(E395:E397)</f>
        <v>151.80000000000001</v>
      </c>
      <c r="F394" s="74">
        <f t="shared" ref="F394" si="233">SUM(F395:F397)</f>
        <v>125.3</v>
      </c>
      <c r="G394" s="74">
        <f>SUM(G395:G397)</f>
        <v>0</v>
      </c>
      <c r="N394" s="36"/>
      <c r="O394" s="30"/>
      <c r="P394" s="31"/>
      <c r="Q394" s="33"/>
      <c r="R394" s="33"/>
      <c r="S394" s="33"/>
      <c r="T394" s="33"/>
      <c r="U394" s="32"/>
      <c r="V394" s="32"/>
    </row>
    <row r="395" spans="1:22" ht="12.75" customHeight="1" x14ac:dyDescent="0.25">
      <c r="A395" s="155"/>
      <c r="B395" s="82" t="s">
        <v>73</v>
      </c>
      <c r="C395" s="156"/>
      <c r="D395" s="11">
        <f t="shared" si="202"/>
        <v>1.8</v>
      </c>
      <c r="E395" s="11">
        <v>1.8</v>
      </c>
      <c r="F395" s="11">
        <v>1.8</v>
      </c>
      <c r="G395" s="16"/>
      <c r="N395" s="36"/>
      <c r="O395" s="30"/>
      <c r="P395" s="31"/>
      <c r="Q395" s="33"/>
      <c r="R395" s="33"/>
      <c r="S395" s="33"/>
      <c r="T395" s="33"/>
      <c r="U395" s="32"/>
      <c r="V395" s="32"/>
    </row>
    <row r="396" spans="1:22" ht="12.75" customHeight="1" x14ac:dyDescent="0.25">
      <c r="A396" s="155"/>
      <c r="B396" s="83" t="s">
        <v>16</v>
      </c>
      <c r="C396" s="157"/>
      <c r="D396" s="11">
        <f t="shared" si="202"/>
        <v>148.6</v>
      </c>
      <c r="E396" s="11">
        <v>148.6</v>
      </c>
      <c r="F396" s="11">
        <v>123.5</v>
      </c>
      <c r="G396" s="16"/>
      <c r="N396" s="36"/>
      <c r="O396" s="30"/>
      <c r="P396" s="31"/>
      <c r="Q396" s="33"/>
      <c r="R396" s="33"/>
      <c r="S396" s="33"/>
      <c r="T396" s="33"/>
      <c r="U396" s="32"/>
      <c r="V396" s="32"/>
    </row>
    <row r="397" spans="1:22" ht="12.75" customHeight="1" x14ac:dyDescent="0.25">
      <c r="A397" s="155"/>
      <c r="B397" s="84" t="s">
        <v>24</v>
      </c>
      <c r="C397" s="158"/>
      <c r="D397" s="11">
        <f t="shared" si="202"/>
        <v>1.4</v>
      </c>
      <c r="E397" s="11">
        <v>1.4</v>
      </c>
      <c r="F397" s="11"/>
      <c r="G397" s="16"/>
      <c r="N397" s="36"/>
      <c r="O397" s="30"/>
      <c r="P397" s="31"/>
      <c r="Q397" s="33"/>
      <c r="R397" s="33"/>
      <c r="S397" s="33"/>
      <c r="T397" s="33"/>
      <c r="U397" s="32"/>
      <c r="V397" s="32"/>
    </row>
    <row r="398" spans="1:22" ht="18" customHeight="1" x14ac:dyDescent="0.25">
      <c r="A398" s="154" t="s">
        <v>122</v>
      </c>
      <c r="B398" s="93" t="s">
        <v>123</v>
      </c>
      <c r="C398" s="88"/>
      <c r="D398" s="89">
        <f t="shared" ref="D398" si="234">SUM(G398+E398)</f>
        <v>235.4</v>
      </c>
      <c r="E398" s="89">
        <f t="shared" ref="E398" si="235">SUM(E399)</f>
        <v>235.4</v>
      </c>
      <c r="F398" s="89">
        <f t="shared" ref="F398" si="236">SUM(F399)</f>
        <v>191.7</v>
      </c>
      <c r="G398" s="89">
        <f>SUM(G399)</f>
        <v>0</v>
      </c>
      <c r="N398" s="36"/>
      <c r="O398" s="30"/>
      <c r="P398" s="31"/>
      <c r="Q398" s="33"/>
      <c r="R398" s="33"/>
      <c r="S398" s="33"/>
      <c r="T398" s="33"/>
      <c r="U398" s="32"/>
      <c r="V398" s="32"/>
    </row>
    <row r="399" spans="1:22" ht="15" customHeight="1" x14ac:dyDescent="0.25">
      <c r="A399" s="154"/>
      <c r="B399" s="69" t="s">
        <v>157</v>
      </c>
      <c r="C399" s="72" t="s">
        <v>30</v>
      </c>
      <c r="D399" s="74">
        <f t="shared" ref="D399" si="237">SUM(D400:D402)</f>
        <v>235.4</v>
      </c>
      <c r="E399" s="74">
        <f t="shared" ref="E399" si="238">SUM(E400:E402)</f>
        <v>235.4</v>
      </c>
      <c r="F399" s="74">
        <f t="shared" ref="F399" si="239">SUM(F400:F402)</f>
        <v>191.7</v>
      </c>
      <c r="G399" s="74">
        <f>SUM(G400:G402)</f>
        <v>0</v>
      </c>
      <c r="N399" s="36"/>
      <c r="O399" s="30"/>
      <c r="P399" s="31"/>
      <c r="Q399" s="33"/>
      <c r="R399" s="33"/>
      <c r="S399" s="33"/>
      <c r="T399" s="33"/>
      <c r="U399" s="32"/>
      <c r="V399" s="32"/>
    </row>
    <row r="400" spans="1:22" ht="12.75" customHeight="1" x14ac:dyDescent="0.25">
      <c r="A400" s="155"/>
      <c r="B400" s="82" t="s">
        <v>73</v>
      </c>
      <c r="C400" s="156"/>
      <c r="D400" s="11">
        <f t="shared" si="202"/>
        <v>2.5</v>
      </c>
      <c r="E400" s="11">
        <v>2.5</v>
      </c>
      <c r="F400" s="11">
        <v>2.5</v>
      </c>
      <c r="G400" s="11"/>
      <c r="N400" s="36"/>
      <c r="O400" s="30"/>
      <c r="P400" s="31"/>
      <c r="Q400" s="33"/>
      <c r="R400" s="33"/>
      <c r="S400" s="33"/>
      <c r="T400" s="33"/>
      <c r="U400" s="32"/>
      <c r="V400" s="32"/>
    </row>
    <row r="401" spans="1:22" ht="12.75" customHeight="1" x14ac:dyDescent="0.25">
      <c r="A401" s="155"/>
      <c r="B401" s="83" t="s">
        <v>16</v>
      </c>
      <c r="C401" s="157"/>
      <c r="D401" s="11">
        <f t="shared" si="202"/>
        <v>227.6</v>
      </c>
      <c r="E401" s="11">
        <v>227.6</v>
      </c>
      <c r="F401" s="11">
        <v>189.2</v>
      </c>
      <c r="G401" s="11"/>
      <c r="H401" s="12"/>
      <c r="N401" s="36"/>
      <c r="O401" s="30"/>
      <c r="P401" s="31"/>
      <c r="Q401" s="33"/>
      <c r="R401" s="33"/>
      <c r="S401" s="33"/>
      <c r="T401" s="33"/>
      <c r="U401" s="32"/>
      <c r="V401" s="32"/>
    </row>
    <row r="402" spans="1:22" ht="12.75" customHeight="1" x14ac:dyDescent="0.25">
      <c r="A402" s="155"/>
      <c r="B402" s="84" t="s">
        <v>24</v>
      </c>
      <c r="C402" s="158"/>
      <c r="D402" s="11">
        <f t="shared" ref="D402:D475" si="240">SUM(G402+E402)</f>
        <v>5.3</v>
      </c>
      <c r="E402" s="11">
        <v>5.3</v>
      </c>
      <c r="F402" s="11"/>
      <c r="G402" s="16"/>
      <c r="N402" s="36"/>
      <c r="O402" s="30"/>
      <c r="P402" s="31"/>
      <c r="Q402" s="33"/>
      <c r="R402" s="33"/>
      <c r="S402" s="33"/>
      <c r="T402" s="33"/>
      <c r="U402" s="32"/>
      <c r="V402" s="32"/>
    </row>
    <row r="403" spans="1:22" ht="18" customHeight="1" x14ac:dyDescent="0.25">
      <c r="A403" s="154" t="s">
        <v>124</v>
      </c>
      <c r="B403" s="93" t="s">
        <v>125</v>
      </c>
      <c r="C403" s="94"/>
      <c r="D403" s="89">
        <f t="shared" ref="D403" si="241">SUM(G403+E403)</f>
        <v>150.39999999999998</v>
      </c>
      <c r="E403" s="89">
        <f t="shared" ref="E403" si="242">SUM(E404+E406)</f>
        <v>150.39999999999998</v>
      </c>
      <c r="F403" s="89">
        <f t="shared" ref="F403" si="243">SUM(F404+F406)</f>
        <v>120</v>
      </c>
      <c r="G403" s="89">
        <f>SUM(G404+G406)</f>
        <v>0</v>
      </c>
      <c r="N403" s="36"/>
      <c r="O403" s="30"/>
      <c r="P403" s="31"/>
      <c r="Q403" s="33"/>
      <c r="R403" s="33"/>
      <c r="S403" s="33"/>
      <c r="T403" s="33"/>
      <c r="U403" s="32"/>
      <c r="V403" s="32"/>
    </row>
    <row r="404" spans="1:22" ht="30.75" customHeight="1" x14ac:dyDescent="0.25">
      <c r="A404" s="154"/>
      <c r="B404" s="86" t="s">
        <v>156</v>
      </c>
      <c r="C404" s="72" t="s">
        <v>25</v>
      </c>
      <c r="D404" s="75">
        <f t="shared" ref="D404" si="244">SUM(D405)</f>
        <v>0.1</v>
      </c>
      <c r="E404" s="75">
        <f t="shared" ref="E404" si="245">SUM(E405)</f>
        <v>0.1</v>
      </c>
      <c r="F404" s="75">
        <f t="shared" ref="F404" si="246">SUM(F405)</f>
        <v>0</v>
      </c>
      <c r="G404" s="75">
        <f>SUM(G405)</f>
        <v>0</v>
      </c>
      <c r="N404" s="36"/>
      <c r="O404" s="30"/>
      <c r="P404" s="31"/>
      <c r="Q404" s="33"/>
      <c r="R404" s="33"/>
      <c r="S404" s="33"/>
      <c r="T404" s="33"/>
      <c r="U404" s="32"/>
      <c r="V404" s="32"/>
    </row>
    <row r="405" spans="1:22" ht="12.75" customHeight="1" x14ac:dyDescent="0.25">
      <c r="A405" s="154"/>
      <c r="B405" s="9" t="s">
        <v>26</v>
      </c>
      <c r="C405" s="38"/>
      <c r="D405" s="11">
        <f t="shared" si="240"/>
        <v>0.1</v>
      </c>
      <c r="E405" s="11">
        <v>0.1</v>
      </c>
      <c r="F405" s="11"/>
      <c r="G405" s="16"/>
      <c r="N405" s="36"/>
      <c r="O405" s="30"/>
      <c r="P405" s="31"/>
      <c r="Q405" s="33"/>
      <c r="R405" s="33"/>
      <c r="S405" s="33"/>
      <c r="T405" s="33"/>
      <c r="U405" s="32"/>
      <c r="V405" s="32"/>
    </row>
    <row r="406" spans="1:22" ht="15" customHeight="1" x14ac:dyDescent="0.25">
      <c r="A406" s="154"/>
      <c r="B406" s="69" t="s">
        <v>148</v>
      </c>
      <c r="C406" s="72" t="s">
        <v>30</v>
      </c>
      <c r="D406" s="74">
        <f t="shared" ref="D406" si="247">SUM(D407:D409)</f>
        <v>150.29999999999998</v>
      </c>
      <c r="E406" s="74">
        <f t="shared" ref="E406" si="248">SUM(E407:E409)</f>
        <v>150.29999999999998</v>
      </c>
      <c r="F406" s="74">
        <f t="shared" ref="F406" si="249">SUM(F407:F409)</f>
        <v>120</v>
      </c>
      <c r="G406" s="74">
        <f>SUM(G407:G409)</f>
        <v>0</v>
      </c>
      <c r="N406" s="36"/>
      <c r="O406" s="30"/>
      <c r="P406" s="31"/>
      <c r="Q406" s="33"/>
      <c r="R406" s="33"/>
      <c r="S406" s="33"/>
      <c r="T406" s="33"/>
      <c r="U406" s="32"/>
      <c r="V406" s="32"/>
    </row>
    <row r="407" spans="1:22" ht="12.75" customHeight="1" x14ac:dyDescent="0.25">
      <c r="A407" s="155"/>
      <c r="B407" s="82" t="s">
        <v>73</v>
      </c>
      <c r="C407" s="156"/>
      <c r="D407" s="11">
        <f t="shared" si="240"/>
        <v>1.7</v>
      </c>
      <c r="E407" s="11">
        <v>1.7</v>
      </c>
      <c r="F407" s="11">
        <v>1.7</v>
      </c>
      <c r="G407" s="16"/>
      <c r="N407" s="36"/>
      <c r="O407" s="30"/>
      <c r="P407" s="31"/>
      <c r="Q407" s="33"/>
      <c r="R407" s="33"/>
      <c r="S407" s="33"/>
      <c r="T407" s="33"/>
      <c r="U407" s="32"/>
      <c r="V407" s="32"/>
    </row>
    <row r="408" spans="1:22" ht="12.75" customHeight="1" x14ac:dyDescent="0.25">
      <c r="A408" s="155"/>
      <c r="B408" s="83" t="s">
        <v>16</v>
      </c>
      <c r="C408" s="157"/>
      <c r="D408" s="11">
        <f t="shared" si="240"/>
        <v>147.6</v>
      </c>
      <c r="E408" s="11">
        <v>147.6</v>
      </c>
      <c r="F408" s="11">
        <v>118.3</v>
      </c>
      <c r="G408" s="16"/>
      <c r="N408" s="36"/>
      <c r="O408" s="30"/>
      <c r="P408" s="31"/>
      <c r="Q408" s="33"/>
      <c r="R408" s="33"/>
      <c r="S408" s="33"/>
      <c r="T408" s="33"/>
      <c r="U408" s="32"/>
      <c r="V408" s="32"/>
    </row>
    <row r="409" spans="1:22" ht="12.75" customHeight="1" x14ac:dyDescent="0.25">
      <c r="A409" s="155"/>
      <c r="B409" s="84" t="s">
        <v>24</v>
      </c>
      <c r="C409" s="158"/>
      <c r="D409" s="11">
        <f t="shared" si="240"/>
        <v>1</v>
      </c>
      <c r="E409" s="11">
        <v>1</v>
      </c>
      <c r="F409" s="11"/>
      <c r="G409" s="16"/>
      <c r="N409" s="36"/>
      <c r="O409" s="30"/>
      <c r="P409" s="31"/>
      <c r="Q409" s="33"/>
      <c r="R409" s="33"/>
      <c r="S409" s="33"/>
      <c r="T409" s="33"/>
      <c r="U409" s="32"/>
      <c r="V409" s="32"/>
    </row>
    <row r="410" spans="1:22" ht="18" customHeight="1" x14ac:dyDescent="0.25">
      <c r="A410" s="160" t="s">
        <v>126</v>
      </c>
      <c r="B410" s="93" t="s">
        <v>127</v>
      </c>
      <c r="C410" s="94"/>
      <c r="D410" s="89">
        <f t="shared" ref="D410" si="250">SUM(G410+E410)</f>
        <v>173.99999999999997</v>
      </c>
      <c r="E410" s="89">
        <f>SUM(E411+E413+E417)</f>
        <v>173.99999999999997</v>
      </c>
      <c r="F410" s="89">
        <f t="shared" ref="F410" si="251">SUM(F411+F413+F417)</f>
        <v>131.19999999999999</v>
      </c>
      <c r="G410" s="89">
        <f>SUM(G411+G413+G417)</f>
        <v>0</v>
      </c>
      <c r="N410" s="36"/>
      <c r="O410" s="30"/>
      <c r="P410" s="31"/>
      <c r="Q410" s="33"/>
      <c r="R410" s="33"/>
      <c r="S410" s="33"/>
      <c r="T410" s="33"/>
      <c r="U410" s="32"/>
      <c r="V410" s="32"/>
    </row>
    <row r="411" spans="1:22" ht="30.75" customHeight="1" x14ac:dyDescent="0.25">
      <c r="A411" s="161"/>
      <c r="B411" s="86" t="s">
        <v>156</v>
      </c>
      <c r="C411" s="72" t="s">
        <v>25</v>
      </c>
      <c r="D411" s="75">
        <f t="shared" ref="D411" si="252">SUM(D412)</f>
        <v>0.6</v>
      </c>
      <c r="E411" s="75">
        <f t="shared" ref="E411" si="253">SUM(E412)</f>
        <v>0.6</v>
      </c>
      <c r="F411" s="75">
        <f t="shared" ref="F411" si="254">SUM(F412)</f>
        <v>0</v>
      </c>
      <c r="G411" s="75">
        <f>SUM(G412)</f>
        <v>0</v>
      </c>
      <c r="N411" s="36"/>
      <c r="O411" s="30"/>
      <c r="P411" s="31"/>
      <c r="Q411" s="33"/>
      <c r="R411" s="33"/>
      <c r="S411" s="33"/>
      <c r="T411" s="33"/>
      <c r="U411" s="32"/>
      <c r="V411" s="32"/>
    </row>
    <row r="412" spans="1:22" ht="12.75" customHeight="1" x14ac:dyDescent="0.25">
      <c r="A412" s="161"/>
      <c r="B412" s="9" t="s">
        <v>26</v>
      </c>
      <c r="C412" s="38"/>
      <c r="D412" s="11">
        <f t="shared" si="240"/>
        <v>0.6</v>
      </c>
      <c r="E412" s="11">
        <v>0.6</v>
      </c>
      <c r="F412" s="11"/>
      <c r="G412" s="16"/>
      <c r="N412" s="36"/>
      <c r="O412" s="30"/>
      <c r="P412" s="31"/>
      <c r="Q412" s="33"/>
      <c r="R412" s="33"/>
      <c r="S412" s="33"/>
      <c r="T412" s="33"/>
      <c r="U412" s="32"/>
      <c r="V412" s="32"/>
    </row>
    <row r="413" spans="1:22" ht="15" customHeight="1" x14ac:dyDescent="0.25">
      <c r="A413" s="161"/>
      <c r="B413" s="69" t="s">
        <v>148</v>
      </c>
      <c r="C413" s="72" t="s">
        <v>30</v>
      </c>
      <c r="D413" s="74">
        <f t="shared" ref="D413" si="255">SUM(D414:D416)</f>
        <v>170.7</v>
      </c>
      <c r="E413" s="74">
        <f t="shared" ref="E413" si="256">SUM(E414:E416)</f>
        <v>170.7</v>
      </c>
      <c r="F413" s="74">
        <f t="shared" ref="F413" si="257">SUM(F414:F416)</f>
        <v>131.19999999999999</v>
      </c>
      <c r="G413" s="74">
        <f>SUM(G414:G416)</f>
        <v>0</v>
      </c>
      <c r="N413" s="36"/>
      <c r="O413" s="30"/>
      <c r="P413" s="31"/>
      <c r="Q413" s="33"/>
      <c r="R413" s="33"/>
      <c r="S413" s="33"/>
      <c r="T413" s="33"/>
      <c r="U413" s="32"/>
      <c r="V413" s="32"/>
    </row>
    <row r="414" spans="1:22" ht="12.75" customHeight="1" x14ac:dyDescent="0.25">
      <c r="A414" s="161"/>
      <c r="B414" s="82" t="s">
        <v>73</v>
      </c>
      <c r="C414" s="156"/>
      <c r="D414" s="11">
        <f t="shared" si="240"/>
        <v>1.7</v>
      </c>
      <c r="E414" s="11">
        <v>1.7</v>
      </c>
      <c r="F414" s="11">
        <v>1.7</v>
      </c>
      <c r="G414" s="11"/>
      <c r="N414" s="36"/>
      <c r="O414" s="30"/>
      <c r="P414" s="31"/>
      <c r="Q414" s="33"/>
      <c r="R414" s="33"/>
      <c r="S414" s="33"/>
      <c r="T414" s="33"/>
      <c r="U414" s="32"/>
      <c r="V414" s="32"/>
    </row>
    <row r="415" spans="1:22" ht="12.75" customHeight="1" x14ac:dyDescent="0.25">
      <c r="A415" s="161"/>
      <c r="B415" s="83" t="s">
        <v>16</v>
      </c>
      <c r="C415" s="157"/>
      <c r="D415" s="11">
        <f t="shared" si="240"/>
        <v>165.5</v>
      </c>
      <c r="E415" s="11">
        <v>165.5</v>
      </c>
      <c r="F415" s="11">
        <v>129.5</v>
      </c>
      <c r="G415" s="11"/>
      <c r="N415" s="36"/>
      <c r="O415" s="30"/>
      <c r="P415" s="31"/>
      <c r="Q415" s="33"/>
      <c r="R415" s="33"/>
      <c r="S415" s="33"/>
      <c r="T415" s="33"/>
      <c r="U415" s="32"/>
      <c r="V415" s="32"/>
    </row>
    <row r="416" spans="1:22" ht="12.75" customHeight="1" x14ac:dyDescent="0.25">
      <c r="A416" s="161"/>
      <c r="B416" s="84" t="s">
        <v>24</v>
      </c>
      <c r="C416" s="158"/>
      <c r="D416" s="11">
        <f t="shared" si="240"/>
        <v>3.5</v>
      </c>
      <c r="E416" s="11">
        <v>3.5</v>
      </c>
      <c r="F416" s="11"/>
      <c r="G416" s="16"/>
      <c r="N416" s="36"/>
      <c r="O416" s="30"/>
      <c r="P416" s="31"/>
      <c r="Q416" s="33"/>
      <c r="R416" s="33"/>
      <c r="S416" s="33"/>
      <c r="T416" s="33"/>
      <c r="U416" s="32"/>
      <c r="V416" s="32"/>
    </row>
    <row r="417" spans="1:22" ht="30.75" customHeight="1" x14ac:dyDescent="0.25">
      <c r="A417" s="161"/>
      <c r="B417" s="73" t="s">
        <v>164</v>
      </c>
      <c r="C417" s="68" t="s">
        <v>31</v>
      </c>
      <c r="D417" s="75">
        <f t="shared" ref="D417:F417" si="258">SUM(D418)</f>
        <v>2.7</v>
      </c>
      <c r="E417" s="75">
        <f t="shared" si="258"/>
        <v>2.7</v>
      </c>
      <c r="F417" s="75">
        <f t="shared" si="258"/>
        <v>0</v>
      </c>
      <c r="G417" s="75">
        <f>SUM(G418)</f>
        <v>0</v>
      </c>
      <c r="N417" s="36"/>
      <c r="O417" s="30"/>
      <c r="P417" s="31"/>
      <c r="Q417" s="33"/>
      <c r="R417" s="33"/>
      <c r="S417" s="33"/>
      <c r="T417" s="33"/>
      <c r="U417" s="32"/>
      <c r="V417" s="32"/>
    </row>
    <row r="418" spans="1:22" ht="12.75" customHeight="1" x14ac:dyDescent="0.25">
      <c r="A418" s="162"/>
      <c r="B418" s="98" t="s">
        <v>16</v>
      </c>
      <c r="C418" s="66"/>
      <c r="D418" s="65">
        <f t="shared" ref="D418" si="259">SUM(G418+E418)</f>
        <v>2.7</v>
      </c>
      <c r="E418" s="11">
        <v>2.7</v>
      </c>
      <c r="F418" s="11"/>
      <c r="G418" s="11"/>
      <c r="N418" s="36"/>
      <c r="O418" s="30"/>
      <c r="P418" s="31"/>
      <c r="Q418" s="33"/>
      <c r="R418" s="33"/>
      <c r="S418" s="33"/>
      <c r="T418" s="33"/>
      <c r="U418" s="32"/>
      <c r="V418" s="32"/>
    </row>
    <row r="419" spans="1:22" ht="18" customHeight="1" x14ac:dyDescent="0.25">
      <c r="A419" s="154" t="s">
        <v>128</v>
      </c>
      <c r="B419" s="93" t="s">
        <v>129</v>
      </c>
      <c r="C419" s="94"/>
      <c r="D419" s="89">
        <f t="shared" si="240"/>
        <v>126.30000000000001</v>
      </c>
      <c r="E419" s="89">
        <f t="shared" ref="E419:F419" si="260">SUM(E420)</f>
        <v>126.30000000000001</v>
      </c>
      <c r="F419" s="89">
        <f t="shared" si="260"/>
        <v>88.899999999999991</v>
      </c>
      <c r="G419" s="89">
        <f>SUM(G420)</f>
        <v>0</v>
      </c>
      <c r="N419" s="36"/>
      <c r="O419" s="30"/>
      <c r="P419" s="31"/>
      <c r="Q419" s="33"/>
      <c r="R419" s="33"/>
      <c r="S419" s="33"/>
      <c r="T419" s="33"/>
      <c r="U419" s="32"/>
      <c r="V419" s="32"/>
    </row>
    <row r="420" spans="1:22" ht="15" customHeight="1" x14ac:dyDescent="0.25">
      <c r="A420" s="154"/>
      <c r="B420" s="69" t="s">
        <v>157</v>
      </c>
      <c r="C420" s="72" t="s">
        <v>30</v>
      </c>
      <c r="D420" s="74">
        <f t="shared" ref="D420" si="261">SUM(D421:D423)</f>
        <v>126.30000000000001</v>
      </c>
      <c r="E420" s="74">
        <f t="shared" ref="E420" si="262">SUM(E421:E423)</f>
        <v>126.30000000000001</v>
      </c>
      <c r="F420" s="74">
        <f t="shared" ref="F420" si="263">SUM(F421:F423)</f>
        <v>88.899999999999991</v>
      </c>
      <c r="G420" s="74">
        <f>SUM(G421:G423)</f>
        <v>0</v>
      </c>
      <c r="N420" s="36"/>
      <c r="O420" s="30"/>
      <c r="P420" s="31"/>
      <c r="Q420" s="33"/>
      <c r="R420" s="33"/>
      <c r="S420" s="33"/>
      <c r="T420" s="33"/>
      <c r="U420" s="32"/>
      <c r="V420" s="32"/>
    </row>
    <row r="421" spans="1:22" ht="12.75" customHeight="1" x14ac:dyDescent="0.25">
      <c r="A421" s="155"/>
      <c r="B421" s="82" t="s">
        <v>73</v>
      </c>
      <c r="C421" s="156"/>
      <c r="D421" s="11">
        <f t="shared" si="240"/>
        <v>1.3</v>
      </c>
      <c r="E421" s="11">
        <v>1.3</v>
      </c>
      <c r="F421" s="11">
        <v>1.3</v>
      </c>
      <c r="G421" s="17"/>
      <c r="N421" s="36"/>
      <c r="O421" s="30"/>
      <c r="P421" s="31"/>
      <c r="Q421" s="33"/>
      <c r="R421" s="33"/>
      <c r="S421" s="33"/>
      <c r="T421" s="33"/>
      <c r="U421" s="32"/>
      <c r="V421" s="32"/>
    </row>
    <row r="422" spans="1:22" ht="12.75" customHeight="1" x14ac:dyDescent="0.25">
      <c r="A422" s="155"/>
      <c r="B422" s="83" t="s">
        <v>16</v>
      </c>
      <c r="C422" s="157"/>
      <c r="D422" s="11">
        <f t="shared" si="240"/>
        <v>124.60000000000001</v>
      </c>
      <c r="E422" s="103">
        <f>114.4+1.7+8.5</f>
        <v>124.60000000000001</v>
      </c>
      <c r="F422" s="11">
        <v>87.6</v>
      </c>
      <c r="G422" s="11"/>
      <c r="N422" s="36"/>
      <c r="O422" s="30"/>
      <c r="P422" s="31"/>
      <c r="Q422" s="33"/>
      <c r="R422" s="33"/>
      <c r="S422" s="33"/>
      <c r="T422" s="33"/>
      <c r="U422" s="32"/>
      <c r="V422" s="32"/>
    </row>
    <row r="423" spans="1:22" ht="12.75" customHeight="1" x14ac:dyDescent="0.25">
      <c r="A423" s="155"/>
      <c r="B423" s="84" t="s">
        <v>24</v>
      </c>
      <c r="C423" s="158"/>
      <c r="D423" s="11">
        <f t="shared" si="240"/>
        <v>0.4</v>
      </c>
      <c r="E423" s="11">
        <v>0.4</v>
      </c>
      <c r="F423" s="11"/>
      <c r="G423" s="16"/>
      <c r="N423" s="36"/>
      <c r="O423" s="30"/>
      <c r="P423" s="31"/>
      <c r="Q423" s="33"/>
      <c r="R423" s="33"/>
      <c r="S423" s="33"/>
      <c r="T423" s="33"/>
      <c r="U423" s="32"/>
      <c r="V423" s="32"/>
    </row>
    <row r="424" spans="1:22" ht="18" customHeight="1" x14ac:dyDescent="0.25">
      <c r="A424" s="154" t="s">
        <v>130</v>
      </c>
      <c r="B424" s="93" t="s">
        <v>131</v>
      </c>
      <c r="C424" s="94"/>
      <c r="D424" s="89">
        <f t="shared" si="240"/>
        <v>153.90000000000003</v>
      </c>
      <c r="E424" s="89">
        <f t="shared" ref="E424:F424" si="264">SUM(E425+E427)</f>
        <v>153.90000000000003</v>
      </c>
      <c r="F424" s="89">
        <f t="shared" si="264"/>
        <v>122.80000000000001</v>
      </c>
      <c r="G424" s="89">
        <f>SUM(G425+G427)</f>
        <v>0</v>
      </c>
      <c r="N424" s="36"/>
      <c r="O424" s="30"/>
      <c r="P424" s="31"/>
      <c r="Q424" s="33"/>
      <c r="R424" s="33"/>
      <c r="S424" s="33"/>
      <c r="T424" s="33"/>
      <c r="U424" s="32"/>
      <c r="V424" s="32"/>
    </row>
    <row r="425" spans="1:22" ht="30.75" customHeight="1" x14ac:dyDescent="0.25">
      <c r="A425" s="154"/>
      <c r="B425" s="86" t="s">
        <v>156</v>
      </c>
      <c r="C425" s="72" t="s">
        <v>25</v>
      </c>
      <c r="D425" s="75">
        <f t="shared" ref="D425" si="265">SUM(D426)</f>
        <v>0.8</v>
      </c>
      <c r="E425" s="75">
        <f t="shared" ref="E425" si="266">SUM(E426)</f>
        <v>0.8</v>
      </c>
      <c r="F425" s="75">
        <f t="shared" ref="F425" si="267">SUM(F426)</f>
        <v>0</v>
      </c>
      <c r="G425" s="75">
        <f>SUM(G426)</f>
        <v>0</v>
      </c>
      <c r="N425" s="36"/>
      <c r="O425" s="30"/>
      <c r="P425" s="31"/>
      <c r="Q425" s="33"/>
      <c r="R425" s="33"/>
      <c r="S425" s="33"/>
      <c r="T425" s="33"/>
      <c r="U425" s="32"/>
      <c r="V425" s="32"/>
    </row>
    <row r="426" spans="1:22" ht="12.75" customHeight="1" x14ac:dyDescent="0.25">
      <c r="A426" s="154"/>
      <c r="B426" s="9" t="s">
        <v>26</v>
      </c>
      <c r="C426" s="38"/>
      <c r="D426" s="11">
        <f t="shared" si="240"/>
        <v>0.8</v>
      </c>
      <c r="E426" s="11">
        <v>0.8</v>
      </c>
      <c r="F426" s="11"/>
      <c r="G426" s="11"/>
      <c r="N426" s="36"/>
      <c r="O426" s="30"/>
      <c r="P426" s="31"/>
      <c r="Q426" s="33"/>
      <c r="R426" s="33"/>
      <c r="S426" s="33"/>
      <c r="T426" s="33"/>
      <c r="U426" s="32"/>
      <c r="V426" s="32"/>
    </row>
    <row r="427" spans="1:22" ht="15.75" customHeight="1" x14ac:dyDescent="0.25">
      <c r="A427" s="154"/>
      <c r="B427" s="95" t="s">
        <v>167</v>
      </c>
      <c r="C427" s="72" t="s">
        <v>30</v>
      </c>
      <c r="D427" s="74">
        <f t="shared" ref="D427" si="268">SUM(D428:D430)</f>
        <v>153.10000000000002</v>
      </c>
      <c r="E427" s="74">
        <f t="shared" ref="E427" si="269">SUM(E428:E430)</f>
        <v>153.10000000000002</v>
      </c>
      <c r="F427" s="74">
        <f t="shared" ref="F427" si="270">SUM(F428:F430)</f>
        <v>122.80000000000001</v>
      </c>
      <c r="G427" s="74">
        <f>SUM(G428:G430)</f>
        <v>0</v>
      </c>
      <c r="N427" s="36"/>
      <c r="O427" s="30"/>
      <c r="P427" s="31"/>
      <c r="Q427" s="33"/>
      <c r="R427" s="33"/>
      <c r="S427" s="33"/>
      <c r="T427" s="33"/>
      <c r="U427" s="32"/>
      <c r="V427" s="32"/>
    </row>
    <row r="428" spans="1:22" ht="12.75" customHeight="1" x14ac:dyDescent="0.25">
      <c r="A428" s="155"/>
      <c r="B428" s="82" t="s">
        <v>73</v>
      </c>
      <c r="C428" s="156"/>
      <c r="D428" s="11">
        <f t="shared" si="240"/>
        <v>1.4</v>
      </c>
      <c r="E428" s="11">
        <v>1.4</v>
      </c>
      <c r="F428" s="11">
        <v>1.4</v>
      </c>
      <c r="G428" s="16"/>
      <c r="N428" s="36"/>
      <c r="O428" s="30"/>
      <c r="P428" s="31"/>
      <c r="Q428" s="33"/>
      <c r="R428" s="33"/>
      <c r="S428" s="33"/>
      <c r="T428" s="33"/>
      <c r="U428" s="32"/>
      <c r="V428" s="32"/>
    </row>
    <row r="429" spans="1:22" ht="12.75" customHeight="1" x14ac:dyDescent="0.25">
      <c r="A429" s="155"/>
      <c r="B429" s="83" t="s">
        <v>16</v>
      </c>
      <c r="C429" s="157"/>
      <c r="D429" s="11">
        <f t="shared" si="240"/>
        <v>149.30000000000001</v>
      </c>
      <c r="E429" s="11">
        <v>149.30000000000001</v>
      </c>
      <c r="F429" s="11">
        <v>121.4</v>
      </c>
      <c r="G429" s="16"/>
      <c r="N429" s="36"/>
      <c r="O429" s="30"/>
      <c r="P429" s="31"/>
      <c r="Q429" s="33"/>
      <c r="R429" s="33"/>
      <c r="S429" s="33"/>
      <c r="T429" s="33"/>
      <c r="U429" s="32"/>
      <c r="V429" s="32"/>
    </row>
    <row r="430" spans="1:22" ht="12.75" customHeight="1" x14ac:dyDescent="0.25">
      <c r="A430" s="155"/>
      <c r="B430" s="84" t="s">
        <v>24</v>
      </c>
      <c r="C430" s="158"/>
      <c r="D430" s="11">
        <f t="shared" si="240"/>
        <v>2.4</v>
      </c>
      <c r="E430" s="11">
        <v>2.4</v>
      </c>
      <c r="F430" s="11"/>
      <c r="G430" s="16"/>
      <c r="N430" s="36"/>
      <c r="O430" s="30"/>
      <c r="P430" s="31"/>
      <c r="Q430" s="33"/>
      <c r="R430" s="33"/>
      <c r="S430" s="33"/>
      <c r="T430" s="33"/>
      <c r="U430" s="32"/>
      <c r="V430" s="32"/>
    </row>
    <row r="431" spans="1:22" ht="18" customHeight="1" x14ac:dyDescent="0.25">
      <c r="A431" s="154" t="s">
        <v>132</v>
      </c>
      <c r="B431" s="93" t="s">
        <v>133</v>
      </c>
      <c r="C431" s="94"/>
      <c r="D431" s="89">
        <f t="shared" si="240"/>
        <v>144</v>
      </c>
      <c r="E431" s="89">
        <f t="shared" ref="E431:F431" si="271">SUM(E432+E434)</f>
        <v>144</v>
      </c>
      <c r="F431" s="89">
        <f t="shared" si="271"/>
        <v>116.80000000000001</v>
      </c>
      <c r="G431" s="89">
        <f>SUM(G432+G434)</f>
        <v>0</v>
      </c>
      <c r="N431" s="36"/>
      <c r="O431" s="30"/>
      <c r="P431" s="31"/>
      <c r="Q431" s="33"/>
      <c r="R431" s="33"/>
      <c r="S431" s="33"/>
      <c r="T431" s="33"/>
      <c r="U431" s="32"/>
      <c r="V431" s="32"/>
    </row>
    <row r="432" spans="1:22" ht="30.75" customHeight="1" x14ac:dyDescent="0.25">
      <c r="A432" s="154"/>
      <c r="B432" s="86" t="s">
        <v>156</v>
      </c>
      <c r="C432" s="72" t="s">
        <v>25</v>
      </c>
      <c r="D432" s="75">
        <f t="shared" ref="D432" si="272">SUM(D433)</f>
        <v>1.2</v>
      </c>
      <c r="E432" s="75">
        <f t="shared" ref="E432" si="273">SUM(E433)</f>
        <v>1.2</v>
      </c>
      <c r="F432" s="75">
        <f t="shared" ref="F432" si="274">SUM(F433)</f>
        <v>0</v>
      </c>
      <c r="G432" s="75">
        <f>SUM(G433)</f>
        <v>0</v>
      </c>
      <c r="N432" s="36"/>
      <c r="O432" s="30"/>
      <c r="P432" s="31"/>
      <c r="Q432" s="33"/>
      <c r="R432" s="33"/>
      <c r="S432" s="33"/>
      <c r="T432" s="33"/>
      <c r="U432" s="32"/>
      <c r="V432" s="32"/>
    </row>
    <row r="433" spans="1:22" ht="12.75" customHeight="1" x14ac:dyDescent="0.25">
      <c r="A433" s="154"/>
      <c r="B433" s="9" t="s">
        <v>26</v>
      </c>
      <c r="C433" s="38"/>
      <c r="D433" s="11">
        <f>SUM(G433+E433)</f>
        <v>1.2</v>
      </c>
      <c r="E433" s="11">
        <v>1.2</v>
      </c>
      <c r="F433" s="11"/>
      <c r="G433" s="17"/>
      <c r="N433" s="36"/>
      <c r="O433" s="30"/>
      <c r="P433" s="31"/>
      <c r="Q433" s="33"/>
      <c r="R433" s="33"/>
      <c r="S433" s="33"/>
      <c r="T433" s="33"/>
      <c r="U433" s="32"/>
      <c r="V433" s="32"/>
    </row>
    <row r="434" spans="1:22" ht="15" customHeight="1" x14ac:dyDescent="0.25">
      <c r="A434" s="154"/>
      <c r="B434" s="95" t="s">
        <v>148</v>
      </c>
      <c r="C434" s="72" t="s">
        <v>30</v>
      </c>
      <c r="D434" s="74">
        <f t="shared" ref="D434" si="275">SUM(D435:D437)</f>
        <v>142.80000000000001</v>
      </c>
      <c r="E434" s="74">
        <f t="shared" ref="E434" si="276">SUM(E435:E437)</f>
        <v>142.80000000000001</v>
      </c>
      <c r="F434" s="74">
        <f t="shared" ref="F434" si="277">SUM(F435:F437)</f>
        <v>116.80000000000001</v>
      </c>
      <c r="G434" s="74">
        <f>SUM(G435:G437)</f>
        <v>0</v>
      </c>
      <c r="N434" s="36"/>
      <c r="O434" s="30"/>
      <c r="P434" s="31"/>
      <c r="Q434" s="33"/>
      <c r="R434" s="33"/>
      <c r="S434" s="33"/>
      <c r="T434" s="33"/>
      <c r="U434" s="32"/>
      <c r="V434" s="32"/>
    </row>
    <row r="435" spans="1:22" ht="12.75" customHeight="1" x14ac:dyDescent="0.25">
      <c r="A435" s="155"/>
      <c r="B435" s="82" t="s">
        <v>73</v>
      </c>
      <c r="C435" s="156"/>
      <c r="D435" s="11">
        <f t="shared" si="240"/>
        <v>1.4</v>
      </c>
      <c r="E435" s="11">
        <v>1.4</v>
      </c>
      <c r="F435" s="11">
        <v>1.4</v>
      </c>
      <c r="G435" s="11"/>
      <c r="N435" s="36"/>
      <c r="O435" s="30"/>
      <c r="P435" s="31"/>
      <c r="Q435" s="33"/>
      <c r="R435" s="33"/>
      <c r="S435" s="33"/>
      <c r="T435" s="33"/>
      <c r="U435" s="32"/>
      <c r="V435" s="32"/>
    </row>
    <row r="436" spans="1:22" ht="12.75" customHeight="1" x14ac:dyDescent="0.25">
      <c r="A436" s="155"/>
      <c r="B436" s="83" t="s">
        <v>16</v>
      </c>
      <c r="C436" s="157"/>
      <c r="D436" s="11">
        <f t="shared" si="240"/>
        <v>140.30000000000001</v>
      </c>
      <c r="E436" s="11">
        <v>140.30000000000001</v>
      </c>
      <c r="F436" s="11">
        <v>115.4</v>
      </c>
      <c r="G436" s="11"/>
      <c r="N436" s="36"/>
      <c r="O436" s="30"/>
      <c r="P436" s="31"/>
      <c r="Q436" s="33"/>
      <c r="R436" s="33"/>
      <c r="S436" s="33"/>
      <c r="T436" s="33"/>
      <c r="U436" s="32"/>
      <c r="V436" s="32"/>
    </row>
    <row r="437" spans="1:22" ht="12.75" customHeight="1" x14ac:dyDescent="0.25">
      <c r="A437" s="155"/>
      <c r="B437" s="84" t="s">
        <v>24</v>
      </c>
      <c r="C437" s="158"/>
      <c r="D437" s="11">
        <f t="shared" si="240"/>
        <v>1.1000000000000001</v>
      </c>
      <c r="E437" s="11">
        <v>1.1000000000000001</v>
      </c>
      <c r="F437" s="11"/>
      <c r="G437" s="16"/>
      <c r="N437" s="36"/>
      <c r="O437" s="30"/>
      <c r="P437" s="31"/>
      <c r="Q437" s="33"/>
      <c r="R437" s="33"/>
      <c r="S437" s="33"/>
      <c r="T437" s="33"/>
      <c r="U437" s="32"/>
      <c r="V437" s="32"/>
    </row>
    <row r="438" spans="1:22" ht="18" customHeight="1" x14ac:dyDescent="0.25">
      <c r="A438" s="154" t="s">
        <v>134</v>
      </c>
      <c r="B438" s="93" t="s">
        <v>135</v>
      </c>
      <c r="C438" s="94"/>
      <c r="D438" s="89">
        <f t="shared" ref="D438" si="278">SUM(G438+E438)</f>
        <v>159.29999999999998</v>
      </c>
      <c r="E438" s="89">
        <f t="shared" ref="E438" si="279">SUM(E439+E441)</f>
        <v>154.79999999999998</v>
      </c>
      <c r="F438" s="89">
        <f t="shared" ref="F438" si="280">SUM(F439+F441)</f>
        <v>98.4</v>
      </c>
      <c r="G438" s="89">
        <f>SUM(G439+G441)</f>
        <v>4.5</v>
      </c>
      <c r="N438" s="36"/>
      <c r="O438" s="30"/>
      <c r="P438" s="31"/>
      <c r="Q438" s="33"/>
      <c r="R438" s="33"/>
      <c r="S438" s="33"/>
      <c r="T438" s="33"/>
      <c r="U438" s="32"/>
      <c r="V438" s="32"/>
    </row>
    <row r="439" spans="1:22" ht="30.75" customHeight="1" x14ac:dyDescent="0.25">
      <c r="A439" s="154"/>
      <c r="B439" s="86" t="s">
        <v>156</v>
      </c>
      <c r="C439" s="72" t="s">
        <v>25</v>
      </c>
      <c r="D439" s="75">
        <f t="shared" ref="D439" si="281">SUM(D440)</f>
        <v>0.5</v>
      </c>
      <c r="E439" s="75">
        <f t="shared" ref="E439" si="282">SUM(E440)</f>
        <v>0.5</v>
      </c>
      <c r="F439" s="75">
        <f t="shared" ref="F439" si="283">SUM(F440)</f>
        <v>0</v>
      </c>
      <c r="G439" s="75">
        <f>SUM(G440)</f>
        <v>0</v>
      </c>
      <c r="N439" s="36"/>
      <c r="O439" s="30"/>
      <c r="P439" s="31"/>
      <c r="Q439" s="33"/>
      <c r="R439" s="33"/>
      <c r="S439" s="33"/>
      <c r="T439" s="33"/>
      <c r="U439" s="32"/>
      <c r="V439" s="32"/>
    </row>
    <row r="440" spans="1:22" ht="12.75" customHeight="1" x14ac:dyDescent="0.25">
      <c r="A440" s="154"/>
      <c r="B440" s="9" t="s">
        <v>26</v>
      </c>
      <c r="C440" s="38"/>
      <c r="D440" s="11">
        <f t="shared" si="240"/>
        <v>0.5</v>
      </c>
      <c r="E440" s="11">
        <v>0.5</v>
      </c>
      <c r="F440" s="11"/>
      <c r="G440" s="11"/>
      <c r="N440" s="36"/>
      <c r="O440" s="30"/>
      <c r="P440" s="31"/>
      <c r="Q440" s="33"/>
      <c r="R440" s="33"/>
      <c r="S440" s="33"/>
      <c r="T440" s="33"/>
      <c r="U440" s="32"/>
      <c r="V440" s="32"/>
    </row>
    <row r="441" spans="1:22" ht="15" customHeight="1" x14ac:dyDescent="0.25">
      <c r="A441" s="154"/>
      <c r="B441" s="95" t="s">
        <v>148</v>
      </c>
      <c r="C441" s="72" t="s">
        <v>30</v>
      </c>
      <c r="D441" s="74">
        <f t="shared" ref="D441" si="284">SUM(D442:D444)</f>
        <v>158.79999999999998</v>
      </c>
      <c r="E441" s="74">
        <f t="shared" ref="E441" si="285">SUM(E442:E444)</f>
        <v>154.29999999999998</v>
      </c>
      <c r="F441" s="74">
        <f t="shared" ref="F441" si="286">SUM(F442:F444)</f>
        <v>98.4</v>
      </c>
      <c r="G441" s="74">
        <f>SUM(G442:G444)</f>
        <v>4.5</v>
      </c>
      <c r="N441" s="36"/>
      <c r="O441" s="30"/>
      <c r="P441" s="31"/>
      <c r="Q441" s="33"/>
      <c r="R441" s="33"/>
      <c r="S441" s="33"/>
      <c r="T441" s="33"/>
      <c r="U441" s="32"/>
      <c r="V441" s="32"/>
    </row>
    <row r="442" spans="1:22" ht="12.75" customHeight="1" x14ac:dyDescent="0.25">
      <c r="A442" s="155"/>
      <c r="B442" s="82" t="s">
        <v>73</v>
      </c>
      <c r="C442" s="156"/>
      <c r="D442" s="11">
        <f t="shared" si="240"/>
        <v>1.2</v>
      </c>
      <c r="E442" s="11">
        <v>1.2</v>
      </c>
      <c r="F442" s="11">
        <v>1.2</v>
      </c>
      <c r="G442" s="11"/>
      <c r="N442" s="36"/>
      <c r="O442" s="30"/>
      <c r="P442" s="31"/>
      <c r="Q442" s="33"/>
      <c r="R442" s="33"/>
      <c r="S442" s="33"/>
      <c r="T442" s="33"/>
      <c r="U442" s="32"/>
      <c r="V442" s="32"/>
    </row>
    <row r="443" spans="1:22" ht="12.75" customHeight="1" x14ac:dyDescent="0.25">
      <c r="A443" s="155"/>
      <c r="B443" s="83" t="s">
        <v>16</v>
      </c>
      <c r="C443" s="157"/>
      <c r="D443" s="11">
        <f t="shared" si="240"/>
        <v>137</v>
      </c>
      <c r="E443" s="11">
        <v>137</v>
      </c>
      <c r="F443" s="11">
        <v>97.2</v>
      </c>
      <c r="G443" s="11"/>
      <c r="N443" s="36"/>
      <c r="O443" s="30"/>
      <c r="P443" s="31"/>
      <c r="Q443" s="33"/>
      <c r="R443" s="33"/>
      <c r="S443" s="33"/>
      <c r="T443" s="33"/>
      <c r="U443" s="32"/>
      <c r="V443" s="32"/>
    </row>
    <row r="444" spans="1:22" ht="12.75" customHeight="1" x14ac:dyDescent="0.25">
      <c r="A444" s="155"/>
      <c r="B444" s="84" t="s">
        <v>24</v>
      </c>
      <c r="C444" s="158"/>
      <c r="D444" s="11">
        <f t="shared" si="240"/>
        <v>20.6</v>
      </c>
      <c r="E444" s="11">
        <v>16.100000000000001</v>
      </c>
      <c r="F444" s="11"/>
      <c r="G444" s="11">
        <v>4.5</v>
      </c>
      <c r="S444" s="33"/>
      <c r="T444" s="33"/>
      <c r="U444" s="32"/>
      <c r="V444" s="32"/>
    </row>
    <row r="445" spans="1:22" ht="18" customHeight="1" x14ac:dyDescent="0.25">
      <c r="A445" s="154" t="s">
        <v>136</v>
      </c>
      <c r="B445" s="93" t="s">
        <v>137</v>
      </c>
      <c r="C445" s="94"/>
      <c r="D445" s="89">
        <f t="shared" si="240"/>
        <v>142.80000000000001</v>
      </c>
      <c r="E445" s="89">
        <f t="shared" ref="E445" si="287">SUM(E446+E448)</f>
        <v>142.80000000000001</v>
      </c>
      <c r="F445" s="89">
        <f t="shared" ref="F445" si="288">SUM(F446+F448)</f>
        <v>115.6</v>
      </c>
      <c r="G445" s="89">
        <f>SUM(G446+G448)</f>
        <v>0</v>
      </c>
      <c r="S445" s="33"/>
      <c r="T445" s="33"/>
      <c r="U445" s="32"/>
      <c r="V445" s="32"/>
    </row>
    <row r="446" spans="1:22" ht="30.75" customHeight="1" x14ac:dyDescent="0.25">
      <c r="A446" s="154"/>
      <c r="B446" s="86" t="s">
        <v>156</v>
      </c>
      <c r="C446" s="72" t="s">
        <v>25</v>
      </c>
      <c r="D446" s="75">
        <f t="shared" ref="D446" si="289">SUM(D447)</f>
        <v>0.3</v>
      </c>
      <c r="E446" s="75">
        <f t="shared" ref="E446" si="290">SUM(E447)</f>
        <v>0.3</v>
      </c>
      <c r="F446" s="75">
        <f t="shared" ref="F446" si="291">SUM(F447)</f>
        <v>0</v>
      </c>
      <c r="G446" s="75">
        <f>SUM(G447)</f>
        <v>0</v>
      </c>
      <c r="S446" s="33"/>
      <c r="T446" s="33"/>
      <c r="U446" s="32"/>
      <c r="V446" s="32"/>
    </row>
    <row r="447" spans="1:22" ht="12.75" customHeight="1" x14ac:dyDescent="0.25">
      <c r="A447" s="154"/>
      <c r="B447" s="9" t="s">
        <v>26</v>
      </c>
      <c r="C447" s="38"/>
      <c r="D447" s="11">
        <f t="shared" si="240"/>
        <v>0.3</v>
      </c>
      <c r="E447" s="11">
        <v>0.3</v>
      </c>
      <c r="F447" s="11"/>
      <c r="G447" s="11"/>
      <c r="S447" s="33"/>
      <c r="T447" s="33"/>
      <c r="U447" s="32"/>
      <c r="V447" s="32"/>
    </row>
    <row r="448" spans="1:22" ht="15" customHeight="1" x14ac:dyDescent="0.25">
      <c r="A448" s="154"/>
      <c r="B448" s="95" t="s">
        <v>148</v>
      </c>
      <c r="C448" s="72" t="s">
        <v>30</v>
      </c>
      <c r="D448" s="74">
        <f t="shared" ref="D448" si="292">SUM(D449:D451)</f>
        <v>142.5</v>
      </c>
      <c r="E448" s="74">
        <f t="shared" ref="E448" si="293">SUM(E449:E451)</f>
        <v>142.5</v>
      </c>
      <c r="F448" s="74">
        <f t="shared" ref="F448" si="294">SUM(F449:F451)</f>
        <v>115.6</v>
      </c>
      <c r="G448" s="74">
        <f>SUM(G449:G451)</f>
        <v>0</v>
      </c>
      <c r="S448" s="33"/>
      <c r="T448" s="33"/>
      <c r="U448" s="32"/>
      <c r="V448" s="32"/>
    </row>
    <row r="449" spans="1:22" ht="12.75" customHeight="1" x14ac:dyDescent="0.25">
      <c r="A449" s="155"/>
      <c r="B449" s="82" t="s">
        <v>73</v>
      </c>
      <c r="C449" s="156"/>
      <c r="D449" s="11">
        <f t="shared" si="240"/>
        <v>1.5</v>
      </c>
      <c r="E449" s="11">
        <v>1.5</v>
      </c>
      <c r="F449" s="11">
        <v>1.5</v>
      </c>
      <c r="G449" s="16"/>
      <c r="S449" s="33"/>
      <c r="T449" s="33"/>
      <c r="U449" s="32"/>
      <c r="V449" s="32"/>
    </row>
    <row r="450" spans="1:22" ht="12.75" customHeight="1" x14ac:dyDescent="0.25">
      <c r="A450" s="155"/>
      <c r="B450" s="83" t="s">
        <v>16</v>
      </c>
      <c r="C450" s="157"/>
      <c r="D450" s="11">
        <f t="shared" si="240"/>
        <v>139.69999999999999</v>
      </c>
      <c r="E450" s="11">
        <v>139.69999999999999</v>
      </c>
      <c r="F450" s="11">
        <v>114.1</v>
      </c>
      <c r="G450" s="16"/>
      <c r="S450" s="33"/>
      <c r="T450" s="33"/>
      <c r="U450" s="32"/>
      <c r="V450" s="32"/>
    </row>
    <row r="451" spans="1:22" ht="12.75" customHeight="1" x14ac:dyDescent="0.25">
      <c r="A451" s="155"/>
      <c r="B451" s="84" t="s">
        <v>24</v>
      </c>
      <c r="C451" s="158"/>
      <c r="D451" s="11">
        <f t="shared" si="240"/>
        <v>1.3</v>
      </c>
      <c r="E451" s="11">
        <v>1.3</v>
      </c>
      <c r="F451" s="11"/>
      <c r="G451" s="16"/>
      <c r="S451" s="33"/>
      <c r="T451" s="33"/>
      <c r="U451" s="32"/>
      <c r="V451" s="32"/>
    </row>
    <row r="452" spans="1:22" ht="18" customHeight="1" x14ac:dyDescent="0.25">
      <c r="A452" s="154" t="s">
        <v>138</v>
      </c>
      <c r="B452" s="93" t="s">
        <v>139</v>
      </c>
      <c r="C452" s="94"/>
      <c r="D452" s="89">
        <f t="shared" si="240"/>
        <v>108.8</v>
      </c>
      <c r="E452" s="89">
        <f t="shared" ref="E452" si="295">SUM(E453+E455)</f>
        <v>108.8</v>
      </c>
      <c r="F452" s="89">
        <f t="shared" ref="F452" si="296">SUM(F453+F455)</f>
        <v>90.4</v>
      </c>
      <c r="G452" s="89">
        <f>SUM(G453+G455)</f>
        <v>0</v>
      </c>
      <c r="S452" s="33"/>
      <c r="T452" s="33"/>
      <c r="U452" s="32"/>
      <c r="V452" s="32"/>
    </row>
    <row r="453" spans="1:22" ht="30.75" customHeight="1" x14ac:dyDescent="0.25">
      <c r="A453" s="154"/>
      <c r="B453" s="86" t="s">
        <v>156</v>
      </c>
      <c r="C453" s="72" t="s">
        <v>25</v>
      </c>
      <c r="D453" s="75">
        <f t="shared" ref="D453" si="297">SUM(D454)</f>
        <v>0.6</v>
      </c>
      <c r="E453" s="75">
        <f t="shared" ref="E453" si="298">SUM(E454)</f>
        <v>0.6</v>
      </c>
      <c r="F453" s="75">
        <f t="shared" ref="F453" si="299">SUM(F454)</f>
        <v>0</v>
      </c>
      <c r="G453" s="75">
        <f>SUM(G454)</f>
        <v>0</v>
      </c>
      <c r="S453" s="33"/>
      <c r="T453" s="33"/>
      <c r="U453" s="32"/>
      <c r="V453" s="32"/>
    </row>
    <row r="454" spans="1:22" ht="12.75" customHeight="1" x14ac:dyDescent="0.25">
      <c r="A454" s="154"/>
      <c r="B454" s="9" t="s">
        <v>26</v>
      </c>
      <c r="C454" s="38"/>
      <c r="D454" s="11">
        <f t="shared" si="240"/>
        <v>0.6</v>
      </c>
      <c r="E454" s="11">
        <v>0.6</v>
      </c>
      <c r="F454" s="11"/>
      <c r="G454" s="11"/>
      <c r="S454" s="33"/>
      <c r="T454" s="33"/>
      <c r="U454" s="32"/>
      <c r="V454" s="32"/>
    </row>
    <row r="455" spans="1:22" ht="15" customHeight="1" x14ac:dyDescent="0.25">
      <c r="A455" s="154"/>
      <c r="B455" s="95" t="s">
        <v>148</v>
      </c>
      <c r="C455" s="72" t="s">
        <v>30</v>
      </c>
      <c r="D455" s="74">
        <f t="shared" ref="D455" si="300">SUM(D456:D458)</f>
        <v>108.2</v>
      </c>
      <c r="E455" s="74">
        <f t="shared" ref="E455" si="301">SUM(E456:E458)</f>
        <v>108.2</v>
      </c>
      <c r="F455" s="74">
        <f t="shared" ref="F455" si="302">SUM(F456:F458)</f>
        <v>90.4</v>
      </c>
      <c r="G455" s="74">
        <f>SUM(G456:G458)</f>
        <v>0</v>
      </c>
      <c r="S455" s="33"/>
      <c r="T455" s="33"/>
      <c r="U455" s="32"/>
      <c r="V455" s="32"/>
    </row>
    <row r="456" spans="1:22" ht="12.75" customHeight="1" x14ac:dyDescent="0.25">
      <c r="A456" s="155"/>
      <c r="B456" s="82" t="s">
        <v>73</v>
      </c>
      <c r="C456" s="156" t="s">
        <v>30</v>
      </c>
      <c r="D456" s="11">
        <f t="shared" si="240"/>
        <v>1.4</v>
      </c>
      <c r="E456" s="11">
        <v>1.4</v>
      </c>
      <c r="F456" s="11">
        <v>1.4</v>
      </c>
      <c r="G456" s="11"/>
      <c r="S456" s="33"/>
      <c r="T456" s="33"/>
      <c r="U456" s="32"/>
      <c r="V456" s="32"/>
    </row>
    <row r="457" spans="1:22" ht="12.75" customHeight="1" x14ac:dyDescent="0.25">
      <c r="A457" s="155"/>
      <c r="B457" s="83" t="s">
        <v>16</v>
      </c>
      <c r="C457" s="157"/>
      <c r="D457" s="11">
        <f t="shared" si="240"/>
        <v>105.5</v>
      </c>
      <c r="E457" s="11">
        <v>105.5</v>
      </c>
      <c r="F457" s="11">
        <v>89</v>
      </c>
      <c r="G457" s="11"/>
      <c r="S457" s="33"/>
      <c r="T457" s="33"/>
      <c r="U457" s="32"/>
      <c r="V457" s="32"/>
    </row>
    <row r="458" spans="1:22" ht="12.75" customHeight="1" x14ac:dyDescent="0.25">
      <c r="A458" s="155"/>
      <c r="B458" s="84" t="s">
        <v>24</v>
      </c>
      <c r="C458" s="158"/>
      <c r="D458" s="11">
        <f t="shared" si="240"/>
        <v>1.3</v>
      </c>
      <c r="E458" s="11">
        <v>1.3</v>
      </c>
      <c r="F458" s="11"/>
      <c r="G458" s="16"/>
      <c r="S458" s="33"/>
      <c r="T458" s="33"/>
      <c r="U458" s="32"/>
      <c r="V458" s="32"/>
    </row>
    <row r="459" spans="1:22" ht="18" customHeight="1" x14ac:dyDescent="0.25">
      <c r="A459" s="154" t="s">
        <v>140</v>
      </c>
      <c r="B459" s="93" t="s">
        <v>141</v>
      </c>
      <c r="C459" s="94"/>
      <c r="D459" s="89">
        <f t="shared" si="240"/>
        <v>1966.2</v>
      </c>
      <c r="E459" s="89">
        <f t="shared" ref="E459:F459" si="303">SUM(E460+E462)</f>
        <v>1959</v>
      </c>
      <c r="F459" s="89">
        <f t="shared" si="303"/>
        <v>1528.5000000000002</v>
      </c>
      <c r="G459" s="89">
        <f>SUM(G460+G462)</f>
        <v>7.1999999999999993</v>
      </c>
      <c r="S459" s="33"/>
      <c r="T459" s="33"/>
      <c r="U459" s="32"/>
      <c r="V459" s="32"/>
    </row>
    <row r="460" spans="1:22" ht="15" customHeight="1" x14ac:dyDescent="0.25">
      <c r="A460" s="154"/>
      <c r="B460" s="69" t="s">
        <v>155</v>
      </c>
      <c r="C460" s="68" t="s">
        <v>17</v>
      </c>
      <c r="D460" s="67">
        <f>SUM(D461)</f>
        <v>164.7</v>
      </c>
      <c r="E460" s="67">
        <f>SUM(E461)</f>
        <v>164.7</v>
      </c>
      <c r="F460" s="67">
        <f>SUM(F461)</f>
        <v>161.19999999999999</v>
      </c>
      <c r="G460" s="67">
        <f>SUM(G461)</f>
        <v>0</v>
      </c>
      <c r="S460" s="33"/>
      <c r="T460" s="33"/>
      <c r="U460" s="32"/>
      <c r="V460" s="32"/>
    </row>
    <row r="461" spans="1:22" ht="12.75" customHeight="1" x14ac:dyDescent="0.25">
      <c r="A461" s="154"/>
      <c r="B461" s="13" t="s">
        <v>21</v>
      </c>
      <c r="C461" s="21"/>
      <c r="D461" s="11">
        <f t="shared" si="240"/>
        <v>164.7</v>
      </c>
      <c r="E461" s="11">
        <v>164.7</v>
      </c>
      <c r="F461" s="11">
        <v>161.19999999999999</v>
      </c>
      <c r="G461" s="11"/>
      <c r="S461" s="33"/>
      <c r="T461" s="33"/>
      <c r="U461" s="32"/>
      <c r="V461" s="32"/>
    </row>
    <row r="462" spans="1:22" ht="15" customHeight="1" x14ac:dyDescent="0.25">
      <c r="A462" s="154"/>
      <c r="B462" s="99" t="s">
        <v>165</v>
      </c>
      <c r="C462" s="68" t="s">
        <v>33</v>
      </c>
      <c r="D462" s="75">
        <f>SUM(D463:D468)</f>
        <v>1801.5000000000002</v>
      </c>
      <c r="E462" s="75">
        <f>SUM(E463:E468)</f>
        <v>1794.3</v>
      </c>
      <c r="F462" s="75">
        <f>SUM(F463:F468)</f>
        <v>1367.3000000000002</v>
      </c>
      <c r="G462" s="75">
        <f>SUM(G463:G468)</f>
        <v>7.1999999999999993</v>
      </c>
      <c r="S462" s="33"/>
      <c r="T462" s="33"/>
      <c r="U462" s="32"/>
      <c r="V462" s="32"/>
    </row>
    <row r="463" spans="1:22" ht="12.75" customHeight="1" x14ac:dyDescent="0.25">
      <c r="A463" s="155"/>
      <c r="B463" s="82" t="s">
        <v>20</v>
      </c>
      <c r="C463" s="156"/>
      <c r="D463" s="11">
        <f t="shared" si="240"/>
        <v>180.9</v>
      </c>
      <c r="E463" s="11">
        <v>176.6</v>
      </c>
      <c r="F463" s="11">
        <v>159.30000000000001</v>
      </c>
      <c r="G463" s="11">
        <v>4.3</v>
      </c>
      <c r="S463" s="33"/>
      <c r="T463" s="33"/>
      <c r="U463" s="32"/>
      <c r="V463" s="32"/>
    </row>
    <row r="464" spans="1:22" ht="12.75" customHeight="1" x14ac:dyDescent="0.25">
      <c r="A464" s="155"/>
      <c r="B464" s="83" t="s">
        <v>27</v>
      </c>
      <c r="C464" s="157"/>
      <c r="D464" s="103">
        <f t="shared" si="240"/>
        <v>62.3</v>
      </c>
      <c r="E464" s="103">
        <f>39.1-1.5+30.7-6</f>
        <v>62.3</v>
      </c>
      <c r="F464" s="103">
        <f>38.6-1.5+0.6-5.9</f>
        <v>31.800000000000004</v>
      </c>
      <c r="G464" s="103"/>
      <c r="H464" s="12"/>
      <c r="S464" s="33"/>
      <c r="T464" s="33"/>
      <c r="U464" s="32"/>
      <c r="V464" s="32"/>
    </row>
    <row r="465" spans="1:22" ht="12.75" customHeight="1" x14ac:dyDescent="0.25">
      <c r="A465" s="155"/>
      <c r="B465" s="85" t="s">
        <v>21</v>
      </c>
      <c r="C465" s="157"/>
      <c r="D465" s="103">
        <f t="shared" si="240"/>
        <v>146.69999999999999</v>
      </c>
      <c r="E465" s="103">
        <v>146.69999999999999</v>
      </c>
      <c r="F465" s="103">
        <v>140.4</v>
      </c>
      <c r="G465" s="103"/>
      <c r="H465" s="12"/>
      <c r="S465" s="33"/>
      <c r="T465" s="33"/>
      <c r="U465" s="32"/>
      <c r="V465" s="32"/>
    </row>
    <row r="466" spans="1:22" ht="12.75" customHeight="1" x14ac:dyDescent="0.25">
      <c r="A466" s="155"/>
      <c r="B466" s="83" t="s">
        <v>34</v>
      </c>
      <c r="C466" s="157"/>
      <c r="D466" s="103">
        <f t="shared" si="240"/>
        <v>1168.9000000000001</v>
      </c>
      <c r="E466" s="103">
        <v>1168.9000000000001</v>
      </c>
      <c r="F466" s="103">
        <v>989.4</v>
      </c>
      <c r="G466" s="103"/>
      <c r="H466" s="12"/>
      <c r="S466" s="33"/>
      <c r="T466" s="33"/>
      <c r="U466" s="32"/>
      <c r="V466" s="32"/>
    </row>
    <row r="467" spans="1:22" ht="12.75" customHeight="1" x14ac:dyDescent="0.25">
      <c r="A467" s="155"/>
      <c r="B467" s="83" t="s">
        <v>16</v>
      </c>
      <c r="C467" s="157"/>
      <c r="D467" s="103">
        <f t="shared" si="240"/>
        <v>19</v>
      </c>
      <c r="E467" s="103">
        <v>16.100000000000001</v>
      </c>
      <c r="F467" s="103">
        <v>7.2</v>
      </c>
      <c r="G467" s="103">
        <v>2.9</v>
      </c>
      <c r="H467" s="12"/>
      <c r="S467" s="33"/>
      <c r="T467" s="33"/>
      <c r="U467" s="32"/>
      <c r="V467" s="32"/>
    </row>
    <row r="468" spans="1:22" ht="12.75" customHeight="1" x14ac:dyDescent="0.25">
      <c r="A468" s="155"/>
      <c r="B468" s="84" t="s">
        <v>24</v>
      </c>
      <c r="C468" s="158"/>
      <c r="D468" s="11">
        <f t="shared" si="240"/>
        <v>223.7</v>
      </c>
      <c r="E468" s="11">
        <v>223.7</v>
      </c>
      <c r="F468" s="11">
        <v>39.200000000000003</v>
      </c>
      <c r="G468" s="16"/>
      <c r="S468" s="33"/>
      <c r="T468" s="33"/>
      <c r="U468" s="32"/>
      <c r="V468" s="32"/>
    </row>
    <row r="469" spans="1:22" ht="18" customHeight="1" x14ac:dyDescent="0.25">
      <c r="A469" s="159" t="s">
        <v>142</v>
      </c>
      <c r="B469" s="138" t="s">
        <v>143</v>
      </c>
      <c r="C469" s="139"/>
      <c r="D469" s="140">
        <f t="shared" si="240"/>
        <v>387.5</v>
      </c>
      <c r="E469" s="140">
        <f t="shared" ref="E469:F469" si="304">SUM(E470)</f>
        <v>387.5</v>
      </c>
      <c r="F469" s="140">
        <f t="shared" si="304"/>
        <v>305.3</v>
      </c>
      <c r="G469" s="140">
        <f>SUM(G470)</f>
        <v>0</v>
      </c>
      <c r="S469" s="33"/>
      <c r="T469" s="33"/>
      <c r="U469" s="32"/>
      <c r="V469" s="32"/>
    </row>
    <row r="470" spans="1:22" ht="15" customHeight="1" x14ac:dyDescent="0.25">
      <c r="A470" s="159"/>
      <c r="B470" s="86" t="s">
        <v>158</v>
      </c>
      <c r="C470" s="72" t="s">
        <v>35</v>
      </c>
      <c r="D470" s="75">
        <f t="shared" ref="D470:F470" si="305">SUM(D471:D475)</f>
        <v>387.5</v>
      </c>
      <c r="E470" s="75">
        <f t="shared" si="305"/>
        <v>387.5</v>
      </c>
      <c r="F470" s="75">
        <f t="shared" si="305"/>
        <v>305.3</v>
      </c>
      <c r="G470" s="75">
        <f>SUM(G471:G475)</f>
        <v>0</v>
      </c>
      <c r="S470" s="33"/>
      <c r="T470" s="33"/>
      <c r="U470" s="32"/>
      <c r="V470" s="32"/>
    </row>
    <row r="471" spans="1:22" ht="12.75" customHeight="1" x14ac:dyDescent="0.25">
      <c r="A471" s="160"/>
      <c r="B471" s="82" t="s">
        <v>20</v>
      </c>
      <c r="C471" s="156"/>
      <c r="D471" s="11">
        <f t="shared" si="240"/>
        <v>0.5</v>
      </c>
      <c r="E471" s="11">
        <v>0.5</v>
      </c>
      <c r="F471" s="11"/>
      <c r="G471" s="11"/>
      <c r="S471" s="33"/>
      <c r="T471" s="33"/>
      <c r="U471" s="32"/>
      <c r="V471" s="32"/>
    </row>
    <row r="472" spans="1:22" ht="12.75" customHeight="1" x14ac:dyDescent="0.25">
      <c r="A472" s="160"/>
      <c r="B472" s="83" t="s">
        <v>21</v>
      </c>
      <c r="C472" s="157"/>
      <c r="D472" s="41">
        <f t="shared" si="240"/>
        <v>380.9</v>
      </c>
      <c r="E472" s="41">
        <v>380.9</v>
      </c>
      <c r="F472" s="41">
        <v>303.2</v>
      </c>
      <c r="G472" s="41"/>
      <c r="S472" s="33"/>
      <c r="T472" s="33"/>
      <c r="U472" s="32"/>
      <c r="V472" s="32"/>
    </row>
    <row r="473" spans="1:22" ht="12.75" customHeight="1" x14ac:dyDescent="0.25">
      <c r="A473" s="160"/>
      <c r="B473" s="83" t="s">
        <v>22</v>
      </c>
      <c r="C473" s="157"/>
      <c r="D473" s="41">
        <f t="shared" si="240"/>
        <v>2.1</v>
      </c>
      <c r="E473" s="41">
        <v>2.1</v>
      </c>
      <c r="F473" s="41">
        <v>2.1</v>
      </c>
      <c r="G473" s="41"/>
      <c r="S473" s="33"/>
      <c r="T473" s="33"/>
      <c r="U473" s="32"/>
      <c r="V473" s="32"/>
    </row>
    <row r="474" spans="1:22" ht="12.75" customHeight="1" x14ac:dyDescent="0.25">
      <c r="A474" s="160"/>
      <c r="B474" s="83" t="s">
        <v>29</v>
      </c>
      <c r="C474" s="157"/>
      <c r="D474" s="41">
        <f t="shared" si="240"/>
        <v>0.1</v>
      </c>
      <c r="E474" s="41">
        <v>0.1</v>
      </c>
      <c r="F474" s="41"/>
      <c r="G474" s="41"/>
      <c r="S474" s="33"/>
      <c r="T474" s="33"/>
      <c r="U474" s="32"/>
      <c r="V474" s="32"/>
    </row>
    <row r="475" spans="1:22" ht="12.75" customHeight="1" x14ac:dyDescent="0.25">
      <c r="A475" s="160"/>
      <c r="B475" s="84" t="s">
        <v>16</v>
      </c>
      <c r="C475" s="157"/>
      <c r="D475" s="41">
        <f t="shared" si="240"/>
        <v>3.9</v>
      </c>
      <c r="E475" s="41">
        <v>3.9</v>
      </c>
      <c r="F475" s="41"/>
      <c r="G475" s="41"/>
      <c r="S475" s="33"/>
      <c r="T475" s="33"/>
      <c r="U475" s="32"/>
      <c r="V475" s="32"/>
    </row>
    <row r="476" spans="1:22" ht="21" customHeight="1" x14ac:dyDescent="0.25">
      <c r="A476" s="144" t="s">
        <v>144</v>
      </c>
      <c r="B476" s="145"/>
      <c r="C476" s="42"/>
      <c r="D476" s="43">
        <f t="shared" ref="D476:D483" si="306">SUM(G476+E476)</f>
        <v>44802.000000000007</v>
      </c>
      <c r="E476" s="43">
        <f>SUM(E529+E525+E518+E511+E504+E496+E485+E477)</f>
        <v>37147.000000000007</v>
      </c>
      <c r="F476" s="43">
        <f>SUM(F529+F525+F518+F511+F504+F496+F485+F477)</f>
        <v>23220.5</v>
      </c>
      <c r="G476" s="43">
        <f>SUM(G529+G525+G518+G511+G504+G496+G485+G477)</f>
        <v>7655</v>
      </c>
    </row>
    <row r="477" spans="1:22" ht="15" customHeight="1" x14ac:dyDescent="0.25">
      <c r="A477" s="146" t="s">
        <v>145</v>
      </c>
      <c r="B477" s="146"/>
      <c r="C477" s="44" t="s">
        <v>17</v>
      </c>
      <c r="D477" s="45">
        <f t="shared" si="306"/>
        <v>9290.8000000000011</v>
      </c>
      <c r="E477" s="45">
        <f>SUM(E478:E484)</f>
        <v>7875.4000000000005</v>
      </c>
      <c r="F477" s="45">
        <f>SUM(F478:F484)</f>
        <v>5559.2000000000007</v>
      </c>
      <c r="G477" s="45">
        <f>SUM(G478:G484)</f>
        <v>1415.4</v>
      </c>
      <c r="K477" s="46"/>
      <c r="L477" s="46"/>
      <c r="M477" s="46"/>
      <c r="N477" s="46"/>
      <c r="O477" s="47"/>
    </row>
    <row r="478" spans="1:22" ht="12.75" customHeight="1" x14ac:dyDescent="0.25">
      <c r="A478" s="48"/>
      <c r="B478" s="49" t="s">
        <v>20</v>
      </c>
      <c r="C478" s="147"/>
      <c r="D478" s="11">
        <f t="shared" si="306"/>
        <v>73.400000000000006</v>
      </c>
      <c r="E478" s="50">
        <f>SUM(E18)</f>
        <v>46.3</v>
      </c>
      <c r="F478" s="50"/>
      <c r="G478" s="50">
        <f>SUM(G18)</f>
        <v>27.1</v>
      </c>
      <c r="K478" s="46"/>
      <c r="L478" s="46"/>
      <c r="M478" s="46"/>
      <c r="N478" s="46"/>
      <c r="O478" s="47"/>
    </row>
    <row r="479" spans="1:22" ht="12.75" customHeight="1" x14ac:dyDescent="0.25">
      <c r="A479" s="48"/>
      <c r="B479" s="13" t="s">
        <v>21</v>
      </c>
      <c r="C479" s="148"/>
      <c r="D479" s="11">
        <f t="shared" si="306"/>
        <v>3135.8</v>
      </c>
      <c r="E479" s="50">
        <f>SUM(E19+E172+E176+E185+E193+E203+E213+E225+E235+E246+E255+E264+E275+E284+E292+E308+E317+E325+E333+E341+E348+E461+E300)</f>
        <v>3135.8</v>
      </c>
      <c r="F479" s="50">
        <f>SUM(F19+F172+F176+F185+F193+F203+F213+F225+F235+F246+F255+F264+F275+F284+F292+F308+F317+F325+F333+F341+F348+F461+F300)</f>
        <v>1901.9</v>
      </c>
      <c r="G479" s="50"/>
      <c r="K479" s="46"/>
      <c r="L479" s="46"/>
      <c r="M479" s="46"/>
      <c r="N479" s="46"/>
      <c r="O479" s="47"/>
    </row>
    <row r="480" spans="1:22" ht="12.75" customHeight="1" x14ac:dyDescent="0.25">
      <c r="A480" s="48"/>
      <c r="B480" s="9" t="s">
        <v>22</v>
      </c>
      <c r="C480" s="148"/>
      <c r="D480" s="11">
        <f t="shared" si="306"/>
        <v>42.7</v>
      </c>
      <c r="E480" s="50">
        <f>SUM(E20)</f>
        <v>42.7</v>
      </c>
      <c r="F480" s="50"/>
      <c r="G480" s="50"/>
      <c r="K480" s="46"/>
      <c r="L480" s="46"/>
      <c r="M480" s="46"/>
      <c r="N480" s="46"/>
      <c r="O480" s="47"/>
    </row>
    <row r="481" spans="1:15" ht="12.75" customHeight="1" x14ac:dyDescent="0.25">
      <c r="A481" s="48"/>
      <c r="B481" s="51" t="s">
        <v>159</v>
      </c>
      <c r="C481" s="148"/>
      <c r="D481" s="11">
        <f t="shared" si="306"/>
        <v>923.9</v>
      </c>
      <c r="E481" s="50"/>
      <c r="F481" s="50"/>
      <c r="G481" s="50">
        <f>SUM(G21)</f>
        <v>923.9</v>
      </c>
      <c r="K481" s="46"/>
      <c r="L481" s="46"/>
      <c r="M481" s="46"/>
      <c r="N481" s="46"/>
      <c r="O481" s="47"/>
    </row>
    <row r="482" spans="1:15" ht="12.75" customHeight="1" x14ac:dyDescent="0.25">
      <c r="A482" s="48"/>
      <c r="B482" s="51" t="s">
        <v>23</v>
      </c>
      <c r="C482" s="148"/>
      <c r="D482" s="11">
        <f t="shared" si="306"/>
        <v>112.2</v>
      </c>
      <c r="E482" s="50"/>
      <c r="F482" s="50"/>
      <c r="G482" s="50">
        <f>SUM(G22)</f>
        <v>112.2</v>
      </c>
      <c r="K482" s="46"/>
      <c r="L482" s="46"/>
      <c r="M482" s="46"/>
      <c r="N482" s="46"/>
      <c r="O482" s="47"/>
    </row>
    <row r="483" spans="1:15" ht="12.95" customHeight="1" x14ac:dyDescent="0.25">
      <c r="A483" s="52"/>
      <c r="B483" s="51" t="s">
        <v>16</v>
      </c>
      <c r="C483" s="148"/>
      <c r="D483" s="11">
        <f t="shared" si="306"/>
        <v>4970.3</v>
      </c>
      <c r="E483" s="11">
        <f>SUM(E15+E23+E68+E78+E86+E94+E102+E112+E120+E130+E138+E146+E154+E164+E173)</f>
        <v>4618.1000000000004</v>
      </c>
      <c r="F483" s="11">
        <f>SUM(F15+F23+F68+F78+F86+F94+F102+F112+F120+F130+F138+F146+F154+F164+F173)</f>
        <v>3657.3</v>
      </c>
      <c r="G483" s="11">
        <f>SUM(G15+G23+G68+G78+G86+G94+G102+G112+G120+G130+G138+G146+G154+G164+G173)</f>
        <v>352.2</v>
      </c>
      <c r="K483" s="46"/>
      <c r="L483" s="46"/>
      <c r="M483" s="46"/>
      <c r="N483" s="46"/>
    </row>
    <row r="484" spans="1:15" ht="12.95" customHeight="1" x14ac:dyDescent="0.25">
      <c r="A484" s="52"/>
      <c r="B484" s="9" t="s">
        <v>24</v>
      </c>
      <c r="C484" s="149"/>
      <c r="D484" s="11">
        <f t="shared" ref="D484:D510" si="307">SUM(G484+E484)</f>
        <v>32.5</v>
      </c>
      <c r="E484" s="11">
        <f>SUM(E24)</f>
        <v>32.5</v>
      </c>
      <c r="F484" s="11"/>
      <c r="G484" s="11"/>
      <c r="K484" s="46"/>
      <c r="L484" s="46"/>
      <c r="M484" s="46"/>
      <c r="N484" s="46"/>
    </row>
    <row r="485" spans="1:15" ht="15" customHeight="1" x14ac:dyDescent="0.25">
      <c r="A485" s="142" t="s">
        <v>146</v>
      </c>
      <c r="B485" s="142"/>
      <c r="C485" s="44" t="s">
        <v>25</v>
      </c>
      <c r="D485" s="45">
        <f>SUM(G485+E485)</f>
        <v>16249.800000000003</v>
      </c>
      <c r="E485" s="45">
        <f>SUM(E486:E495)</f>
        <v>16115.700000000003</v>
      </c>
      <c r="F485" s="45">
        <f>SUM(F486:F495)</f>
        <v>13128</v>
      </c>
      <c r="G485" s="45">
        <f>SUM(G486:G495)</f>
        <v>134.09999999999997</v>
      </c>
      <c r="K485" s="46"/>
      <c r="L485" s="46"/>
      <c r="M485" s="46"/>
      <c r="N485" s="46"/>
    </row>
    <row r="486" spans="1:15" ht="12.95" customHeight="1" x14ac:dyDescent="0.25">
      <c r="A486" s="52"/>
      <c r="B486" s="9" t="s">
        <v>20</v>
      </c>
      <c r="C486" s="150"/>
      <c r="D486" s="11">
        <f t="shared" si="307"/>
        <v>44.4</v>
      </c>
      <c r="E486" s="11">
        <f>SUM(E26)</f>
        <v>7.4</v>
      </c>
      <c r="F486" s="11">
        <f>SUM(F26)</f>
        <v>4.0999999999999996</v>
      </c>
      <c r="G486" s="11">
        <f>SUM(G26)</f>
        <v>37</v>
      </c>
      <c r="K486" s="46"/>
      <c r="L486" s="46"/>
      <c r="M486" s="46"/>
      <c r="N486" s="46"/>
    </row>
    <row r="487" spans="1:15" ht="12.95" customHeight="1" x14ac:dyDescent="0.25">
      <c r="A487" s="52"/>
      <c r="B487" s="9" t="s">
        <v>147</v>
      </c>
      <c r="C487" s="151"/>
      <c r="D487" s="11">
        <f t="shared" si="307"/>
        <v>10.7</v>
      </c>
      <c r="E487" s="11">
        <f>SUM(E27+E365+E371+E393+E405+E412+E426+E433+E440+E447+E454)</f>
        <v>10.7</v>
      </c>
      <c r="F487" s="11">
        <f>SUM(F27+F365+F371+F393+F405+F412+F426+F433+F440+F447+F454)</f>
        <v>0.1</v>
      </c>
      <c r="G487" s="11"/>
      <c r="K487" s="46"/>
      <c r="L487" s="46"/>
      <c r="M487" s="46"/>
      <c r="N487" s="46"/>
    </row>
    <row r="488" spans="1:15" ht="12.95" customHeight="1" x14ac:dyDescent="0.25">
      <c r="A488" s="52"/>
      <c r="B488" s="9" t="s">
        <v>27</v>
      </c>
      <c r="C488" s="151"/>
      <c r="D488" s="11">
        <f t="shared" si="307"/>
        <v>146.29999999999998</v>
      </c>
      <c r="E488" s="11">
        <f>SUM(E28)</f>
        <v>146.29999999999998</v>
      </c>
      <c r="F488" s="11">
        <f>SUM(F28)</f>
        <v>4.4000000000000004</v>
      </c>
      <c r="G488" s="11"/>
      <c r="K488" s="46"/>
      <c r="L488" s="46"/>
      <c r="M488" s="46"/>
      <c r="N488" s="46"/>
    </row>
    <row r="489" spans="1:15" ht="12.95" customHeight="1" x14ac:dyDescent="0.25">
      <c r="A489" s="52"/>
      <c r="B489" s="9" t="s">
        <v>73</v>
      </c>
      <c r="C489" s="151"/>
      <c r="D489" s="11">
        <f t="shared" si="307"/>
        <v>76.900000000000006</v>
      </c>
      <c r="E489" s="11">
        <f>SUM(E196+E249+E228+E311+E335+E206+E267+E278+E319+E327+E258)</f>
        <v>76.900000000000006</v>
      </c>
      <c r="F489" s="11">
        <f>SUM(F196+F249+F228+F311+F335+F206+F267+F278+F319+F327)</f>
        <v>62.2</v>
      </c>
      <c r="G489" s="11"/>
      <c r="K489" s="46"/>
      <c r="L489" s="46"/>
      <c r="M489" s="46"/>
      <c r="N489" s="46"/>
    </row>
    <row r="490" spans="1:15" ht="12.95" customHeight="1" x14ac:dyDescent="0.25">
      <c r="A490" s="52"/>
      <c r="B490" s="9" t="s">
        <v>28</v>
      </c>
      <c r="C490" s="151"/>
      <c r="D490" s="11">
        <f t="shared" si="307"/>
        <v>8018.2</v>
      </c>
      <c r="E490" s="11">
        <f>SUM(E29+E179+E188+E197+E207+E217+E229+E238+E250+E259+E268+E279+E287+E295+E303+E312+E320+E328+E336+E343+E350+E361+E366)</f>
        <v>8018.2</v>
      </c>
      <c r="F490" s="11">
        <f>SUM(F29+F179+F188+F197+F207+F217+F229+F238+F250+F259+F268+F279+F287+F295+F303+F312+F320+F328+F336+F343+F350+F361+F366)</f>
        <v>7622.5</v>
      </c>
      <c r="G490" s="11"/>
      <c r="K490" s="46"/>
      <c r="L490" s="46"/>
      <c r="M490" s="46"/>
      <c r="N490" s="46"/>
    </row>
    <row r="491" spans="1:15" ht="12.95" customHeight="1" x14ac:dyDescent="0.25">
      <c r="A491" s="52"/>
      <c r="B491" s="9" t="s">
        <v>22</v>
      </c>
      <c r="C491" s="151"/>
      <c r="D491" s="11">
        <f t="shared" si="307"/>
        <v>11.2</v>
      </c>
      <c r="E491" s="11">
        <f>SUM(E180+E198+E208+E218+E230+E239)</f>
        <v>11.2</v>
      </c>
      <c r="F491" s="11">
        <f>SUM(F180+F198+F208+F218+F230+F239)</f>
        <v>11.2</v>
      </c>
      <c r="G491" s="11"/>
      <c r="K491" s="46"/>
      <c r="L491" s="46"/>
      <c r="M491" s="46"/>
      <c r="N491" s="46"/>
    </row>
    <row r="492" spans="1:15" ht="12.95" customHeight="1" x14ac:dyDescent="0.25">
      <c r="A492" s="52"/>
      <c r="B492" s="9" t="s">
        <v>68</v>
      </c>
      <c r="C492" s="151"/>
      <c r="D492" s="11">
        <f t="shared" si="307"/>
        <v>86.699999999999989</v>
      </c>
      <c r="E492" s="11">
        <f>SUM(E178+E187+E195+E205+E215+E227+E237+E248+E257+E266+E277+E286+E294+E302+E310)</f>
        <v>75.899999999999991</v>
      </c>
      <c r="F492" s="11">
        <f>SUM(F178+F187+F195+F205+F215+F227+F237+F248+F257+F266+F277+F286+F294+F302+F310)</f>
        <v>2.2999999999999998</v>
      </c>
      <c r="G492" s="11">
        <f>SUM(G178+G187+G195+G205+G215+G227+G237+G248+G257+G266+G277+G286+G294+G302+G310)</f>
        <v>10.8</v>
      </c>
      <c r="K492" s="46"/>
      <c r="L492" s="46"/>
      <c r="M492" s="46"/>
      <c r="N492" s="46"/>
    </row>
    <row r="493" spans="1:15" ht="12.95" customHeight="1" x14ac:dyDescent="0.25">
      <c r="A493" s="52"/>
      <c r="B493" s="9" t="s">
        <v>29</v>
      </c>
      <c r="C493" s="151"/>
      <c r="D493" s="11">
        <f t="shared" si="307"/>
        <v>3.3</v>
      </c>
      <c r="E493" s="11"/>
      <c r="F493" s="11"/>
      <c r="G493" s="11">
        <f>SUM(G30)</f>
        <v>3.3</v>
      </c>
      <c r="K493" s="46"/>
      <c r="L493" s="46"/>
      <c r="M493" s="46"/>
      <c r="N493" s="46"/>
    </row>
    <row r="494" spans="1:15" ht="12.95" customHeight="1" x14ac:dyDescent="0.25">
      <c r="A494" s="52"/>
      <c r="B494" s="9" t="s">
        <v>16</v>
      </c>
      <c r="C494" s="151"/>
      <c r="D494" s="11">
        <f t="shared" si="307"/>
        <v>7486.9000000000015</v>
      </c>
      <c r="E494" s="11">
        <f>SUM(E31+E181+E189+E199+E209+E219+E231+E240+E251+E260+E269+E280+E288+E296+E304+E313+E321+E329+E337+E344+E351+E355+E362+E367)</f>
        <v>7407.9000000000015</v>
      </c>
      <c r="F494" s="11">
        <f>SUM(F31+F181+F189+F199+F209+F219+F231+F240+F251+F260+F269+F280+F288+F296+F304+F313+F321+F329+F337+F344+F351+F355+F362+F367)</f>
        <v>5421.2</v>
      </c>
      <c r="G494" s="11">
        <f>SUM(G31+G181+G189+G199+G209+G219+G231+G240+G251+G260+G269+G280+G288+G296+G304+G313+G321+G329+G337+G344+G351+G355+G362+G367)</f>
        <v>78.999999999999986</v>
      </c>
      <c r="K494" s="46"/>
      <c r="L494" s="46"/>
      <c r="M494" s="46"/>
      <c r="N494" s="46"/>
    </row>
    <row r="495" spans="1:15" ht="12.95" customHeight="1" x14ac:dyDescent="0.25">
      <c r="A495" s="52"/>
      <c r="B495" s="9" t="s">
        <v>24</v>
      </c>
      <c r="C495" s="152"/>
      <c r="D495" s="11">
        <f t="shared" si="307"/>
        <v>365.2</v>
      </c>
      <c r="E495" s="11">
        <f>SUM(E182+E190+E200+E210+E220+E232+E241+E252+E261+E270+E281+E289+E297+E305+E314+E322+E330+E338+E345+E352+E356+E368)</f>
        <v>361.2</v>
      </c>
      <c r="F495" s="11"/>
      <c r="G495" s="11">
        <f>SUM(G182+G190+G200+G210+G220+G232+G241+G252+G261+G270+G281+G289+G297+G305+G314+G322+G330+G338+G345+G352+G356+G368)</f>
        <v>4</v>
      </c>
      <c r="K495" s="46"/>
      <c r="L495" s="46"/>
      <c r="M495" s="46"/>
      <c r="N495" s="46"/>
    </row>
    <row r="496" spans="1:15" ht="15" customHeight="1" x14ac:dyDescent="0.25">
      <c r="A496" s="142" t="s">
        <v>148</v>
      </c>
      <c r="B496" s="142"/>
      <c r="C496" s="44" t="s">
        <v>30</v>
      </c>
      <c r="D496" s="45">
        <f>SUM(G496+E496)</f>
        <v>4544.3</v>
      </c>
      <c r="E496" s="45">
        <f>SUM(E497:E503)</f>
        <v>3365.8</v>
      </c>
      <c r="F496" s="45">
        <f t="shared" ref="F496" si="308">SUM(F497:F503)</f>
        <v>2403.2999999999997</v>
      </c>
      <c r="G496" s="45">
        <f>SUM(G497:G503)</f>
        <v>1178.5</v>
      </c>
    </row>
    <row r="497" spans="1:7" ht="12.75" customHeight="1" x14ac:dyDescent="0.25">
      <c r="A497" s="48"/>
      <c r="B497" s="49" t="s">
        <v>20</v>
      </c>
      <c r="C497" s="147"/>
      <c r="D497" s="11">
        <f t="shared" si="307"/>
        <v>187.4</v>
      </c>
      <c r="E497" s="50">
        <f>SUM(E33)</f>
        <v>25.400000000000002</v>
      </c>
      <c r="F497" s="50">
        <f>SUM(F33)</f>
        <v>11.399999999999999</v>
      </c>
      <c r="G497" s="50">
        <f>SUM(G33)</f>
        <v>162</v>
      </c>
    </row>
    <row r="498" spans="1:7" ht="12.75" customHeight="1" x14ac:dyDescent="0.25">
      <c r="A498" s="48"/>
      <c r="B498" s="9" t="s">
        <v>27</v>
      </c>
      <c r="C498" s="148"/>
      <c r="D498" s="11">
        <f t="shared" si="307"/>
        <v>41.2</v>
      </c>
      <c r="E498" s="50"/>
      <c r="F498" s="50"/>
      <c r="G498" s="50">
        <f>SUM(G373)</f>
        <v>41.2</v>
      </c>
    </row>
    <row r="499" spans="1:7" ht="12.95" customHeight="1" x14ac:dyDescent="0.25">
      <c r="A499" s="52"/>
      <c r="B499" s="9" t="s">
        <v>73</v>
      </c>
      <c r="C499" s="148"/>
      <c r="D499" s="11">
        <f t="shared" si="307"/>
        <v>32.999999999999993</v>
      </c>
      <c r="E499" s="11">
        <f>SUM(E374+E379+E388+E395+E400+E407+E414+E421+E428+E435+E442+E449+E456)</f>
        <v>32.999999999999993</v>
      </c>
      <c r="F499" s="11">
        <f>SUM(F374+F379+F388+F395+F400+F407+F414+F421+F428+F435+F442+F449+F456)</f>
        <v>32.999999999999993</v>
      </c>
      <c r="G499" s="11"/>
    </row>
    <row r="500" spans="1:7" ht="12.95" customHeight="1" x14ac:dyDescent="0.25">
      <c r="A500" s="52"/>
      <c r="B500" s="9" t="s">
        <v>29</v>
      </c>
      <c r="C500" s="148"/>
      <c r="D500" s="11">
        <f t="shared" si="307"/>
        <v>10</v>
      </c>
      <c r="E500" s="11"/>
      <c r="F500" s="11"/>
      <c r="G500" s="11">
        <f>G36</f>
        <v>10</v>
      </c>
    </row>
    <row r="501" spans="1:7" ht="12.95" customHeight="1" x14ac:dyDescent="0.25">
      <c r="A501" s="52"/>
      <c r="B501" s="9" t="s">
        <v>23</v>
      </c>
      <c r="C501" s="148"/>
      <c r="D501" s="11">
        <f t="shared" si="307"/>
        <v>348</v>
      </c>
      <c r="E501" s="50"/>
      <c r="F501" s="50"/>
      <c r="G501" s="50">
        <f>SUM(G34)</f>
        <v>348</v>
      </c>
    </row>
    <row r="502" spans="1:7" ht="12.95" customHeight="1" x14ac:dyDescent="0.25">
      <c r="A502" s="52"/>
      <c r="B502" s="9" t="s">
        <v>16</v>
      </c>
      <c r="C502" s="148"/>
      <c r="D502" s="11">
        <f t="shared" si="307"/>
        <v>3877.8999999999996</v>
      </c>
      <c r="E502" s="11">
        <f>SUM(E35+E358+E375+E380+E389+E396+E401+E408+E415+E422+E429+E436+E443+E450+E457+E122)</f>
        <v>3265.1</v>
      </c>
      <c r="F502" s="11">
        <f>SUM(F35+F358+F375+F380+F389+F396+F401+F408+F415+F422+F429+F436+F443+F450+F457)</f>
        <v>2358.8999999999996</v>
      </c>
      <c r="G502" s="11">
        <f>SUM(G35+G358+G375+G380+G389+G396+G401+G408+G415+G422+G429+G436+G443+G450+G457+G156+G70+G104+G122)</f>
        <v>612.79999999999995</v>
      </c>
    </row>
    <row r="503" spans="1:7" ht="12.95" customHeight="1" x14ac:dyDescent="0.25">
      <c r="A503" s="52"/>
      <c r="B503" s="9" t="s">
        <v>24</v>
      </c>
      <c r="C503" s="149"/>
      <c r="D503" s="11">
        <f t="shared" si="307"/>
        <v>46.8</v>
      </c>
      <c r="E503" s="11">
        <f>SUM(E376+E381+E390+E397+E402+E409+E416+E423+E430+E437+E444+E451+E458)</f>
        <v>42.3</v>
      </c>
      <c r="F503" s="11"/>
      <c r="G503" s="11">
        <f>SUM(G376+G381+G390+G397+G402+G409+G416+G423+G430+G437+G444+G451+G458)</f>
        <v>4.5</v>
      </c>
    </row>
    <row r="504" spans="1:7" ht="15" customHeight="1" x14ac:dyDescent="0.25">
      <c r="A504" s="142" t="s">
        <v>149</v>
      </c>
      <c r="B504" s="142"/>
      <c r="C504" s="44" t="s">
        <v>31</v>
      </c>
      <c r="D504" s="45">
        <f>SUM(G504+E504)</f>
        <v>4416.2999999999993</v>
      </c>
      <c r="E504" s="45">
        <f>SUM(E505:E510)</f>
        <v>1750.3999999999999</v>
      </c>
      <c r="F504" s="45">
        <f>SUM(F505:F510)</f>
        <v>126.39999999999999</v>
      </c>
      <c r="G504" s="45">
        <f>SUM(G505:G510)</f>
        <v>2665.8999999999996</v>
      </c>
    </row>
    <row r="505" spans="1:7" ht="12.75" customHeight="1" x14ac:dyDescent="0.25">
      <c r="A505" s="48"/>
      <c r="B505" s="49" t="s">
        <v>20</v>
      </c>
      <c r="C505" s="147"/>
      <c r="D505" s="11">
        <f t="shared" si="307"/>
        <v>215.7</v>
      </c>
      <c r="E505" s="45"/>
      <c r="F505" s="45"/>
      <c r="G505" s="50">
        <f>SUM(G38)</f>
        <v>215.7</v>
      </c>
    </row>
    <row r="506" spans="1:7" ht="12.75" customHeight="1" x14ac:dyDescent="0.25">
      <c r="A506" s="48"/>
      <c r="B506" s="13" t="s">
        <v>21</v>
      </c>
      <c r="C506" s="148"/>
      <c r="D506" s="11">
        <f t="shared" si="307"/>
        <v>29.1</v>
      </c>
      <c r="E506" s="50">
        <f>SUM(E40)</f>
        <v>29.1</v>
      </c>
      <c r="F506" s="50">
        <f>SUM(F40)</f>
        <v>22.3</v>
      </c>
      <c r="G506" s="50"/>
    </row>
    <row r="507" spans="1:7" ht="12.75" customHeight="1" x14ac:dyDescent="0.25">
      <c r="A507" s="53"/>
      <c r="B507" s="9" t="s">
        <v>32</v>
      </c>
      <c r="C507" s="148"/>
      <c r="D507" s="11">
        <f t="shared" si="307"/>
        <v>2469.3000000000002</v>
      </c>
      <c r="E507" s="50">
        <f>SUM(E39)</f>
        <v>1035</v>
      </c>
      <c r="F507" s="50"/>
      <c r="G507" s="50">
        <f>SUM(G39)</f>
        <v>1434.3</v>
      </c>
    </row>
    <row r="508" spans="1:7" ht="12.95" customHeight="1" x14ac:dyDescent="0.25">
      <c r="A508" s="54"/>
      <c r="B508" s="9" t="s">
        <v>29</v>
      </c>
      <c r="C508" s="148"/>
      <c r="D508" s="11">
        <f t="shared" si="307"/>
        <v>38.1</v>
      </c>
      <c r="E508" s="11"/>
      <c r="F508" s="11"/>
      <c r="G508" s="11">
        <f>SUM(G41)</f>
        <v>38.1</v>
      </c>
    </row>
    <row r="509" spans="1:7" ht="12.95" customHeight="1" x14ac:dyDescent="0.25">
      <c r="A509" s="54"/>
      <c r="B509" s="55" t="s">
        <v>16</v>
      </c>
      <c r="C509" s="148"/>
      <c r="D509" s="11">
        <f t="shared" si="307"/>
        <v>1633.4</v>
      </c>
      <c r="E509" s="11">
        <f>SUM(E42+E72+E80+E88+E96+E106+E114+E124+E132+E140+E148+E158+E166+E418+E272+E243+E222)</f>
        <v>655.6</v>
      </c>
      <c r="F509" s="11">
        <f>SUM(F42+F72+F80+F88+F96+F106+F114+F124+F132+F140+F148+F158+F166+F418)</f>
        <v>104.1</v>
      </c>
      <c r="G509" s="11">
        <f>SUM(G42+G72+G80+G88+G96+G106+G114+G124+G132+G140+G148+G158+G166+G418+G272)</f>
        <v>977.8</v>
      </c>
    </row>
    <row r="510" spans="1:7" ht="12.95" customHeight="1" x14ac:dyDescent="0.25">
      <c r="A510" s="52"/>
      <c r="B510" s="9" t="s">
        <v>24</v>
      </c>
      <c r="C510" s="149"/>
      <c r="D510" s="11">
        <f t="shared" si="307"/>
        <v>30.699999999999996</v>
      </c>
      <c r="E510" s="11">
        <f>SUM(E73+E81+E89+E97+E107+E115+E125+E133+E141+E149+E159+E167)</f>
        <v>30.699999999999996</v>
      </c>
      <c r="F510" s="11"/>
      <c r="G510" s="11"/>
    </row>
    <row r="511" spans="1:7" ht="15" customHeight="1" x14ac:dyDescent="0.25">
      <c r="A511" s="142" t="s">
        <v>150</v>
      </c>
      <c r="B511" s="142"/>
      <c r="C511" s="44" t="s">
        <v>33</v>
      </c>
      <c r="D511" s="45">
        <f>SUM(G511+E511)</f>
        <v>6227.0999999999995</v>
      </c>
      <c r="E511" s="45">
        <f>SUM(E512:E517)</f>
        <v>6055.2</v>
      </c>
      <c r="F511" s="45">
        <f>SUM(F512:F517)</f>
        <v>1689.8999999999999</v>
      </c>
      <c r="G511" s="45">
        <f>SUM(G512:G517)</f>
        <v>171.9</v>
      </c>
    </row>
    <row r="512" spans="1:7" ht="12.95" customHeight="1" x14ac:dyDescent="0.25">
      <c r="A512" s="52"/>
      <c r="B512" s="9" t="s">
        <v>20</v>
      </c>
      <c r="C512" s="150"/>
      <c r="D512" s="11">
        <f t="shared" ref="D512:D534" si="309">SUM(G512+E512)</f>
        <v>446.20000000000005</v>
      </c>
      <c r="E512" s="11">
        <f>SUM(E463+E44)</f>
        <v>289.3</v>
      </c>
      <c r="F512" s="11">
        <f>SUM(F463+F44)</f>
        <v>260</v>
      </c>
      <c r="G512" s="11">
        <f>SUM(G463+G44)</f>
        <v>156.9</v>
      </c>
    </row>
    <row r="513" spans="1:7" ht="12.95" customHeight="1" x14ac:dyDescent="0.25">
      <c r="A513" s="56"/>
      <c r="B513" s="9" t="s">
        <v>27</v>
      </c>
      <c r="C513" s="151"/>
      <c r="D513" s="41">
        <f t="shared" si="309"/>
        <v>115.69999999999999</v>
      </c>
      <c r="E513" s="41">
        <f>SUM(E464+E45)</f>
        <v>115.69999999999999</v>
      </c>
      <c r="F513" s="41">
        <f>SUM(F464+F45)</f>
        <v>39.500000000000007</v>
      </c>
      <c r="G513" s="41"/>
    </row>
    <row r="514" spans="1:7" ht="12.95" customHeight="1" x14ac:dyDescent="0.25">
      <c r="A514" s="52"/>
      <c r="B514" s="13" t="s">
        <v>21</v>
      </c>
      <c r="C514" s="151"/>
      <c r="D514" s="11">
        <f t="shared" si="309"/>
        <v>150.39999999999998</v>
      </c>
      <c r="E514" s="11">
        <f>SUM(E465+E46)</f>
        <v>150.39999999999998</v>
      </c>
      <c r="F514" s="11">
        <f>SUM(F465+F46)</f>
        <v>140.4</v>
      </c>
      <c r="G514" s="11"/>
    </row>
    <row r="515" spans="1:7" ht="12.95" customHeight="1" x14ac:dyDescent="0.25">
      <c r="A515" s="52"/>
      <c r="B515" s="9" t="s">
        <v>16</v>
      </c>
      <c r="C515" s="151"/>
      <c r="D515" s="11">
        <f t="shared" si="309"/>
        <v>1770.2999999999997</v>
      </c>
      <c r="E515" s="11">
        <f>SUM(E47+E75+E83+E91+E99+E109+E117+E127+E135+E143+E151+E161+E169+E467)</f>
        <v>1755.2999999999997</v>
      </c>
      <c r="F515" s="11">
        <f>SUM(F47+F75+F83+F91+F99+F109+F117+F127+F135+F143+F151+F161+F169+F467)</f>
        <v>221.39999999999998</v>
      </c>
      <c r="G515" s="11">
        <f>SUM(G47+G75+G83+G91+G99+G109+G117+G127+G135+G143+G151+G161+G169+G467)</f>
        <v>15</v>
      </c>
    </row>
    <row r="516" spans="1:7" ht="12.75" customHeight="1" x14ac:dyDescent="0.25">
      <c r="A516" s="57"/>
      <c r="B516" s="40" t="s">
        <v>34</v>
      </c>
      <c r="C516" s="151"/>
      <c r="D516" s="11">
        <f t="shared" si="309"/>
        <v>3520.8</v>
      </c>
      <c r="E516" s="58">
        <f>SUM(E466+E48)</f>
        <v>3520.8</v>
      </c>
      <c r="F516" s="58">
        <f>SUM(F466+F48)</f>
        <v>989.4</v>
      </c>
      <c r="G516" s="58"/>
    </row>
    <row r="517" spans="1:7" ht="12.95" customHeight="1" x14ac:dyDescent="0.25">
      <c r="A517" s="57"/>
      <c r="B517" s="9" t="s">
        <v>24</v>
      </c>
      <c r="C517" s="152"/>
      <c r="D517" s="11">
        <f t="shared" si="309"/>
        <v>223.7</v>
      </c>
      <c r="E517" s="58">
        <f>SUM(E468)</f>
        <v>223.7</v>
      </c>
      <c r="F517" s="58">
        <f>SUM(F468)</f>
        <v>39.200000000000003</v>
      </c>
      <c r="G517" s="58"/>
    </row>
    <row r="518" spans="1:7" ht="15" customHeight="1" x14ac:dyDescent="0.25">
      <c r="A518" s="142" t="s">
        <v>151</v>
      </c>
      <c r="B518" s="142"/>
      <c r="C518" s="44" t="s">
        <v>35</v>
      </c>
      <c r="D518" s="45">
        <f t="shared" si="309"/>
        <v>531.5</v>
      </c>
      <c r="E518" s="45">
        <f>SUM(E519:E524)</f>
        <v>531.5</v>
      </c>
      <c r="F518" s="45">
        <f>SUM(F519:F524)</f>
        <v>312.10000000000002</v>
      </c>
      <c r="G518" s="45">
        <f>SUM(G519:G524)</f>
        <v>0</v>
      </c>
    </row>
    <row r="519" spans="1:7" ht="12.95" customHeight="1" x14ac:dyDescent="0.25">
      <c r="A519" s="52"/>
      <c r="B519" s="49" t="s">
        <v>20</v>
      </c>
      <c r="C519" s="150"/>
      <c r="D519" s="11">
        <f t="shared" si="309"/>
        <v>11</v>
      </c>
      <c r="E519" s="11">
        <f>SUM(E50+E471)</f>
        <v>11</v>
      </c>
      <c r="F519" s="11">
        <f>SUM(F50+F471)</f>
        <v>3</v>
      </c>
      <c r="G519" s="11"/>
    </row>
    <row r="520" spans="1:7" ht="12.95" customHeight="1" x14ac:dyDescent="0.25">
      <c r="A520" s="52"/>
      <c r="B520" s="13" t="s">
        <v>21</v>
      </c>
      <c r="C520" s="151"/>
      <c r="D520" s="11">
        <f t="shared" si="309"/>
        <v>384.79999999999995</v>
      </c>
      <c r="E520" s="11">
        <f>SUM(E472+E51)</f>
        <v>384.79999999999995</v>
      </c>
      <c r="F520" s="11">
        <f>SUM(F472+F51)</f>
        <v>307</v>
      </c>
      <c r="G520" s="11"/>
    </row>
    <row r="521" spans="1:7" ht="12.95" customHeight="1" x14ac:dyDescent="0.25">
      <c r="A521" s="52"/>
      <c r="B521" s="9" t="s">
        <v>22</v>
      </c>
      <c r="C521" s="151"/>
      <c r="D521" s="11">
        <f t="shared" si="309"/>
        <v>59.5</v>
      </c>
      <c r="E521" s="11">
        <f>SUM(E473+E52)</f>
        <v>59.5</v>
      </c>
      <c r="F521" s="11">
        <f>SUM(F473+F52)</f>
        <v>2.1</v>
      </c>
      <c r="G521" s="11"/>
    </row>
    <row r="522" spans="1:7" ht="12.95" customHeight="1" x14ac:dyDescent="0.25">
      <c r="A522" s="52"/>
      <c r="B522" s="59" t="s">
        <v>29</v>
      </c>
      <c r="C522" s="151"/>
      <c r="D522" s="11">
        <f t="shared" si="309"/>
        <v>1.1000000000000001</v>
      </c>
      <c r="E522" s="11">
        <f>SUM(E474+E53)</f>
        <v>1.1000000000000001</v>
      </c>
      <c r="F522" s="11"/>
      <c r="G522" s="11"/>
    </row>
    <row r="523" spans="1:7" ht="12.95" customHeight="1" x14ac:dyDescent="0.25">
      <c r="A523" s="52"/>
      <c r="B523" s="9" t="s">
        <v>16</v>
      </c>
      <c r="C523" s="151"/>
      <c r="D523" s="11">
        <f t="shared" si="309"/>
        <v>49.1</v>
      </c>
      <c r="E523" s="11">
        <f>SUM(E475+E54)</f>
        <v>49.1</v>
      </c>
      <c r="F523" s="11"/>
      <c r="G523" s="11"/>
    </row>
    <row r="524" spans="1:7" ht="12.95" customHeight="1" x14ac:dyDescent="0.25">
      <c r="A524" s="57"/>
      <c r="B524" s="9" t="s">
        <v>36</v>
      </c>
      <c r="C524" s="152"/>
      <c r="D524" s="11">
        <f t="shared" si="309"/>
        <v>26</v>
      </c>
      <c r="E524" s="58">
        <f>SUM(E55)</f>
        <v>26</v>
      </c>
      <c r="F524" s="60"/>
      <c r="G524" s="60"/>
    </row>
    <row r="525" spans="1:7" ht="15" customHeight="1" x14ac:dyDescent="0.25">
      <c r="A525" s="142" t="s">
        <v>152</v>
      </c>
      <c r="B525" s="142"/>
      <c r="C525" s="44" t="s">
        <v>37</v>
      </c>
      <c r="D525" s="45">
        <f t="shared" si="309"/>
        <v>1134.1000000000001</v>
      </c>
      <c r="E525" s="45">
        <f t="shared" ref="E525:F525" si="310">SUM(E526:E528)</f>
        <v>940.2</v>
      </c>
      <c r="F525" s="45">
        <f t="shared" si="310"/>
        <v>1.3</v>
      </c>
      <c r="G525" s="45">
        <f>SUM(G526:G528)</f>
        <v>193.9</v>
      </c>
    </row>
    <row r="526" spans="1:7" ht="12.6" customHeight="1" x14ac:dyDescent="0.25">
      <c r="A526" s="52"/>
      <c r="B526" s="9" t="s">
        <v>20</v>
      </c>
      <c r="C526" s="147"/>
      <c r="D526" s="11">
        <f t="shared" si="309"/>
        <v>211.7</v>
      </c>
      <c r="E526" s="61">
        <f>SUM(E57)</f>
        <v>87</v>
      </c>
      <c r="F526" s="61">
        <f>SUM(F57)</f>
        <v>1.3</v>
      </c>
      <c r="G526" s="61">
        <f>SUM(G57)</f>
        <v>124.7</v>
      </c>
    </row>
    <row r="527" spans="1:7" ht="12.95" customHeight="1" x14ac:dyDescent="0.25">
      <c r="A527" s="52"/>
      <c r="B527" s="9" t="s">
        <v>16</v>
      </c>
      <c r="C527" s="148"/>
      <c r="D527" s="11">
        <f t="shared" si="309"/>
        <v>768.40000000000009</v>
      </c>
      <c r="E527" s="11">
        <f>SUM(E58)</f>
        <v>764.2</v>
      </c>
      <c r="F527" s="11"/>
      <c r="G527" s="11">
        <f>SUM(G58)</f>
        <v>4.2</v>
      </c>
    </row>
    <row r="528" spans="1:7" ht="12.95" customHeight="1" x14ac:dyDescent="0.25">
      <c r="A528" s="57"/>
      <c r="B528" s="9" t="s">
        <v>36</v>
      </c>
      <c r="C528" s="149"/>
      <c r="D528" s="11">
        <f t="shared" si="309"/>
        <v>154</v>
      </c>
      <c r="E528" s="58">
        <f>SUM(E59)</f>
        <v>89</v>
      </c>
      <c r="F528" s="58"/>
      <c r="G528" s="58">
        <f>SUM(G59)</f>
        <v>65</v>
      </c>
    </row>
    <row r="529" spans="1:7" ht="15" customHeight="1" x14ac:dyDescent="0.25">
      <c r="A529" s="142" t="s">
        <v>153</v>
      </c>
      <c r="B529" s="142"/>
      <c r="C529" s="44" t="s">
        <v>38</v>
      </c>
      <c r="D529" s="45">
        <f t="shared" si="309"/>
        <v>2408.1</v>
      </c>
      <c r="E529" s="45">
        <f>SUM(E530:E534)</f>
        <v>512.79999999999995</v>
      </c>
      <c r="F529" s="45">
        <f>SUM(F530:F534)</f>
        <v>0.3</v>
      </c>
      <c r="G529" s="45">
        <f>SUM(G530:G534)</f>
        <v>1895.3</v>
      </c>
    </row>
    <row r="530" spans="1:7" ht="12.95" customHeight="1" x14ac:dyDescent="0.25">
      <c r="A530" s="52"/>
      <c r="B530" s="59" t="s">
        <v>20</v>
      </c>
      <c r="C530" s="146"/>
      <c r="D530" s="50">
        <f t="shared" si="309"/>
        <v>636.9</v>
      </c>
      <c r="E530" s="50">
        <f>SUM(E61+E383)</f>
        <v>0.3</v>
      </c>
      <c r="F530" s="50">
        <f>SUM(F61+F383)</f>
        <v>0.3</v>
      </c>
      <c r="G530" s="50">
        <f>SUM(G61+G383)</f>
        <v>636.6</v>
      </c>
    </row>
    <row r="531" spans="1:7" ht="12.95" customHeight="1" x14ac:dyDescent="0.25">
      <c r="A531" s="52"/>
      <c r="B531" s="62" t="s">
        <v>21</v>
      </c>
      <c r="C531" s="142"/>
      <c r="D531" s="50">
        <f t="shared" si="309"/>
        <v>453</v>
      </c>
      <c r="E531" s="50">
        <f>SUM(E62)</f>
        <v>453</v>
      </c>
      <c r="F531" s="50"/>
      <c r="G531" s="50"/>
    </row>
    <row r="532" spans="1:7" ht="12.95" customHeight="1" x14ac:dyDescent="0.25">
      <c r="A532" s="52"/>
      <c r="B532" s="59" t="s">
        <v>39</v>
      </c>
      <c r="C532" s="142"/>
      <c r="D532" s="50">
        <f t="shared" si="309"/>
        <v>920</v>
      </c>
      <c r="E532" s="50"/>
      <c r="F532" s="50"/>
      <c r="G532" s="50">
        <f>SUM(G63)</f>
        <v>920</v>
      </c>
    </row>
    <row r="533" spans="1:7" ht="12.95" customHeight="1" x14ac:dyDescent="0.25">
      <c r="A533" s="52"/>
      <c r="B533" s="59" t="s">
        <v>29</v>
      </c>
      <c r="C533" s="142"/>
      <c r="D533" s="50">
        <f t="shared" si="309"/>
        <v>112.3</v>
      </c>
      <c r="E533" s="50"/>
      <c r="F533" s="50"/>
      <c r="G533" s="50">
        <f>SUM(G64+G384)</f>
        <v>112.3</v>
      </c>
    </row>
    <row r="534" spans="1:7" ht="12.95" customHeight="1" x14ac:dyDescent="0.25">
      <c r="A534" s="57"/>
      <c r="B534" s="59" t="s">
        <v>16</v>
      </c>
      <c r="C534" s="153"/>
      <c r="D534" s="50">
        <f t="shared" si="309"/>
        <v>285.89999999999998</v>
      </c>
      <c r="E534" s="63">
        <f>SUM(E385+E65)</f>
        <v>59.5</v>
      </c>
      <c r="F534" s="63"/>
      <c r="G534" s="63">
        <f>SUM(G385+G65)</f>
        <v>226.4</v>
      </c>
    </row>
    <row r="535" spans="1:7" ht="15" customHeight="1" x14ac:dyDescent="0.25">
      <c r="A535" s="143" t="s">
        <v>154</v>
      </c>
      <c r="B535" s="143"/>
      <c r="C535" s="143"/>
      <c r="D535" s="143"/>
      <c r="E535" s="143"/>
      <c r="F535" s="143"/>
      <c r="G535" s="143"/>
    </row>
    <row r="536" spans="1:7" ht="15" customHeight="1" x14ac:dyDescent="0.25"/>
    <row r="537" spans="1:7" ht="15" customHeight="1" x14ac:dyDescent="0.25"/>
    <row r="538" spans="1:7" ht="15" customHeight="1" x14ac:dyDescent="0.25"/>
    <row r="539" spans="1:7" ht="15" customHeight="1" x14ac:dyDescent="0.25"/>
    <row r="540" spans="1:7" ht="16.5" customHeight="1" x14ac:dyDescent="0.25"/>
    <row r="541" spans="1:7" ht="15" customHeight="1" x14ac:dyDescent="0.25"/>
    <row r="542" spans="1:7" ht="15" customHeight="1" x14ac:dyDescent="0.25"/>
    <row r="543" spans="1:7" ht="15" customHeight="1" x14ac:dyDescent="0.25"/>
    <row r="544" spans="1:7" ht="15" customHeight="1" x14ac:dyDescent="0.25"/>
    <row r="545" ht="15" customHeight="1" x14ac:dyDescent="0.25"/>
    <row r="546" ht="15" customHeight="1" x14ac:dyDescent="0.25"/>
  </sheetData>
  <mergeCells count="139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6:A75"/>
    <mergeCell ref="C72:C73"/>
    <mergeCell ref="A76:A83"/>
    <mergeCell ref="C80:C81"/>
    <mergeCell ref="A84:A91"/>
    <mergeCell ref="C88:C89"/>
    <mergeCell ref="A13:A15"/>
    <mergeCell ref="A16:A65"/>
    <mergeCell ref="C26:C31"/>
    <mergeCell ref="C33:C35"/>
    <mergeCell ref="C38:C42"/>
    <mergeCell ref="C44:C48"/>
    <mergeCell ref="C50:C55"/>
    <mergeCell ref="C57:C59"/>
    <mergeCell ref="C61:C65"/>
    <mergeCell ref="A118:A127"/>
    <mergeCell ref="C124:C125"/>
    <mergeCell ref="A128:A135"/>
    <mergeCell ref="C132:C133"/>
    <mergeCell ref="A136:A143"/>
    <mergeCell ref="C140:C141"/>
    <mergeCell ref="A92:A99"/>
    <mergeCell ref="C96:C97"/>
    <mergeCell ref="A100:A109"/>
    <mergeCell ref="C106:C107"/>
    <mergeCell ref="A110:A117"/>
    <mergeCell ref="C114:C115"/>
    <mergeCell ref="A170:A173"/>
    <mergeCell ref="C172:C173"/>
    <mergeCell ref="A174:A182"/>
    <mergeCell ref="C178:C182"/>
    <mergeCell ref="A183:A190"/>
    <mergeCell ref="C187:C190"/>
    <mergeCell ref="A144:A151"/>
    <mergeCell ref="C148:C149"/>
    <mergeCell ref="A152:A161"/>
    <mergeCell ref="C158:C159"/>
    <mergeCell ref="A162:A169"/>
    <mergeCell ref="C166:C167"/>
    <mergeCell ref="A223:A232"/>
    <mergeCell ref="C227:C232"/>
    <mergeCell ref="A233:A241"/>
    <mergeCell ref="C237:C241"/>
    <mergeCell ref="A244:A252"/>
    <mergeCell ref="C248:C252"/>
    <mergeCell ref="A191:A200"/>
    <mergeCell ref="C195:C200"/>
    <mergeCell ref="A201:A210"/>
    <mergeCell ref="C205:C210"/>
    <mergeCell ref="A211:A220"/>
    <mergeCell ref="C215:C220"/>
    <mergeCell ref="A282:A289"/>
    <mergeCell ref="C286:C289"/>
    <mergeCell ref="A290:A297"/>
    <mergeCell ref="C294:C297"/>
    <mergeCell ref="A298:A305"/>
    <mergeCell ref="C302:C305"/>
    <mergeCell ref="A253:A261"/>
    <mergeCell ref="C257:C261"/>
    <mergeCell ref="A262:A270"/>
    <mergeCell ref="C266:C270"/>
    <mergeCell ref="A273:A281"/>
    <mergeCell ref="C277:C281"/>
    <mergeCell ref="A331:A338"/>
    <mergeCell ref="A339:A345"/>
    <mergeCell ref="C343:C345"/>
    <mergeCell ref="A346:A352"/>
    <mergeCell ref="C350:C352"/>
    <mergeCell ref="C335:C338"/>
    <mergeCell ref="A306:A314"/>
    <mergeCell ref="C310:C314"/>
    <mergeCell ref="A315:A322"/>
    <mergeCell ref="C319:C322"/>
    <mergeCell ref="A323:A330"/>
    <mergeCell ref="C327:C330"/>
    <mergeCell ref="A369:A376"/>
    <mergeCell ref="C373:C376"/>
    <mergeCell ref="A377:A385"/>
    <mergeCell ref="C379:C381"/>
    <mergeCell ref="C383:C385"/>
    <mergeCell ref="A386:A390"/>
    <mergeCell ref="C388:C390"/>
    <mergeCell ref="A353:A358"/>
    <mergeCell ref="C355:C356"/>
    <mergeCell ref="A359:A362"/>
    <mergeCell ref="C361:C362"/>
    <mergeCell ref="A363:A368"/>
    <mergeCell ref="C365:C368"/>
    <mergeCell ref="C414:C416"/>
    <mergeCell ref="A419:A423"/>
    <mergeCell ref="C421:C423"/>
    <mergeCell ref="A424:A430"/>
    <mergeCell ref="C428:C430"/>
    <mergeCell ref="A410:A418"/>
    <mergeCell ref="A391:A397"/>
    <mergeCell ref="C395:C397"/>
    <mergeCell ref="A398:A402"/>
    <mergeCell ref="C400:C402"/>
    <mergeCell ref="A403:A409"/>
    <mergeCell ref="C407:C409"/>
    <mergeCell ref="A452:A458"/>
    <mergeCell ref="C456:C458"/>
    <mergeCell ref="A459:A468"/>
    <mergeCell ref="C463:C468"/>
    <mergeCell ref="A469:A475"/>
    <mergeCell ref="C471:C475"/>
    <mergeCell ref="A431:A437"/>
    <mergeCell ref="C435:C437"/>
    <mergeCell ref="A438:A444"/>
    <mergeCell ref="C442:C444"/>
    <mergeCell ref="A445:A451"/>
    <mergeCell ref="C449:C451"/>
    <mergeCell ref="A518:B518"/>
    <mergeCell ref="A525:B525"/>
    <mergeCell ref="A529:B529"/>
    <mergeCell ref="A535:G535"/>
    <mergeCell ref="A476:B476"/>
    <mergeCell ref="A477:B477"/>
    <mergeCell ref="A485:B485"/>
    <mergeCell ref="A496:B496"/>
    <mergeCell ref="A504:B504"/>
    <mergeCell ref="A511:B511"/>
    <mergeCell ref="C478:C484"/>
    <mergeCell ref="C486:C495"/>
    <mergeCell ref="C497:C503"/>
    <mergeCell ref="C505:C510"/>
    <mergeCell ref="C512:C517"/>
    <mergeCell ref="C519:C524"/>
    <mergeCell ref="C526:C528"/>
    <mergeCell ref="C530:C534"/>
  </mergeCells>
  <pageMargins left="0.7" right="0.7" top="0.75" bottom="0.75" header="0.3" footer="0.3"/>
  <pageSetup paperSize="9" scale="8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2021-08-16T12:25:55Z</cp:lastPrinted>
  <dcterms:created xsi:type="dcterms:W3CDTF">2021-07-29T06:19:49Z</dcterms:created>
  <dcterms:modified xsi:type="dcterms:W3CDTF">2021-08-16T12:26:10Z</dcterms:modified>
</cp:coreProperties>
</file>